
<file path=[Content_Types].xml><?xml version="1.0" encoding="utf-8"?>
<Types xmlns="http://schemas.openxmlformats.org/package/2006/content-types">
  <Default Extension="jp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501"/>
  <workbookPr/>
  <mc:AlternateContent xmlns:mc="http://schemas.openxmlformats.org/markup-compatibility/2006">
    <mc:Choice Requires="x15">
      <x15ac:absPath xmlns:x15ac="http://schemas.microsoft.com/office/spreadsheetml/2010/11/ac" url="C:\Users\Boost Peru\Downloads\"/>
    </mc:Choice>
  </mc:AlternateContent>
  <xr:revisionPtr revIDLastSave="0" documentId="8_{D0E0073A-3942-4A5D-B0DA-6E8A7F79823E}" xr6:coauthVersionLast="47" xr6:coauthVersionMax="47" xr10:uidLastSave="{00000000-0000-0000-0000-000000000000}"/>
  <bookViews>
    <workbookView xWindow="-120" yWindow="-120" windowWidth="20730" windowHeight="11160" xr2:uid="{00000000-000D-0000-FFFF-FFFF00000000}"/>
  </bookViews>
  <sheets>
    <sheet name="ACCESORIOS" sheetId="3" r:id="rId1"/>
    <sheet name="PANTALLAS DE LAPTOP" sheetId="4" state="hidden" r:id="rId2"/>
    <sheet name="Hoja 8" sheetId="7" state="hidden" r:id="rId3"/>
    <sheet name="Precios" sheetId="8" state="hidden" r:id="rId4"/>
  </sheets>
  <definedNames>
    <definedName name="_xlnm._FilterDatabase" localSheetId="3" hidden="1">Precios!$A$1:$G$2714</definedName>
  </definedNames>
  <calcPr calcId="191029"/>
  <customWorkbookViews>
    <customWorkbookView name="Filtro 3" guid="{4A90D97A-D37A-4C0C-822F-C03D4B3BE340}" maximized="1" windowWidth="0" windowHeight="0" activeSheetId="0"/>
    <customWorkbookView name="Filtro 2" guid="{00FD5E46-0944-4A42-92AD-67630090D665}" maximized="1" windowWidth="0" windowHeight="0" activeSheetId="0"/>
    <customWorkbookView name="Filtro 1" guid="{8A5434F1-41ED-45E6-9802-981EDC5E27DB}" maximized="1" windowWidth="0" windowHeight="0" activeSheetId="0"/>
    <customWorkbookView name="Filtro 4" guid="{C8660666-5867-4244-9816-5B2AF9DA1319}" maximized="1" windowWidth="0" windowHeight="0" activeSheetId="0"/>
  </customWorkbookViews>
</workbook>
</file>

<file path=xl/calcChain.xml><?xml version="1.0" encoding="utf-8"?>
<calcChain xmlns="http://schemas.openxmlformats.org/spreadsheetml/2006/main">
  <c r="E4000" i="8" l="1"/>
  <c r="E3999" i="8"/>
  <c r="E3998" i="8"/>
  <c r="E3997" i="8"/>
  <c r="E3996" i="8"/>
  <c r="E3995" i="8"/>
  <c r="E3994" i="8"/>
  <c r="E3993" i="8"/>
  <c r="E3992" i="8"/>
  <c r="E3991" i="8"/>
  <c r="E3990" i="8"/>
  <c r="E3989" i="8"/>
  <c r="E3988" i="8"/>
  <c r="E3987" i="8"/>
  <c r="E3986" i="8"/>
  <c r="E3985" i="8"/>
  <c r="E3984" i="8"/>
  <c r="E3983" i="8"/>
  <c r="E3982" i="8"/>
  <c r="E3981" i="8"/>
  <c r="E3980" i="8"/>
  <c r="E3979" i="8"/>
  <c r="E3978" i="8"/>
  <c r="E3977" i="8"/>
  <c r="E3976" i="8"/>
  <c r="E3975" i="8"/>
  <c r="E3974" i="8"/>
  <c r="E3973" i="8"/>
  <c r="E3972" i="8"/>
  <c r="E3971" i="8"/>
  <c r="E3970" i="8"/>
  <c r="E3969" i="8"/>
  <c r="E3968" i="8"/>
  <c r="E3967" i="8"/>
  <c r="E3966" i="8"/>
  <c r="E3965" i="8"/>
  <c r="E3964" i="8"/>
  <c r="E3963" i="8"/>
  <c r="E3962" i="8"/>
  <c r="E3961" i="8"/>
  <c r="E3960" i="8"/>
  <c r="E3959" i="8"/>
  <c r="E3958" i="8"/>
  <c r="E3957" i="8"/>
  <c r="E3956" i="8"/>
  <c r="E3955" i="8"/>
  <c r="E3954" i="8"/>
  <c r="E3953" i="8"/>
  <c r="E3952" i="8"/>
  <c r="E3951" i="8"/>
  <c r="E3950" i="8"/>
  <c r="E3949" i="8"/>
  <c r="E3948" i="8"/>
  <c r="E3947" i="8"/>
  <c r="E3946" i="8"/>
  <c r="E3945" i="8"/>
  <c r="E3944" i="8"/>
  <c r="E3943" i="8"/>
  <c r="E3942" i="8"/>
  <c r="E3941" i="8"/>
  <c r="E3940" i="8"/>
  <c r="E3939" i="8"/>
  <c r="E3938" i="8"/>
  <c r="E3937" i="8"/>
  <c r="E3936" i="8"/>
  <c r="E3935" i="8"/>
  <c r="E3934" i="8"/>
  <c r="E3933" i="8"/>
  <c r="E3932" i="8"/>
  <c r="E3931" i="8"/>
  <c r="E3930" i="8"/>
  <c r="E3929" i="8"/>
  <c r="E3928" i="8"/>
  <c r="E3927" i="8"/>
  <c r="E3926" i="8"/>
  <c r="E3925" i="8"/>
  <c r="E3924" i="8"/>
  <c r="E3923" i="8"/>
  <c r="E3922" i="8"/>
  <c r="E3921" i="8"/>
  <c r="E3920" i="8"/>
  <c r="E3919" i="8"/>
  <c r="E3918" i="8"/>
  <c r="E3917" i="8"/>
  <c r="E3916" i="8"/>
  <c r="E3915" i="8"/>
  <c r="E3914" i="8"/>
  <c r="E3913" i="8"/>
  <c r="E3912" i="8"/>
  <c r="E3911" i="8"/>
  <c r="E3910" i="8"/>
  <c r="E3909" i="8"/>
  <c r="E3908" i="8"/>
  <c r="E3907" i="8"/>
  <c r="E3906" i="8"/>
  <c r="E3905" i="8"/>
  <c r="E3904" i="8"/>
  <c r="E3903" i="8"/>
  <c r="E3902" i="8"/>
  <c r="E3901" i="8"/>
  <c r="E3900" i="8"/>
  <c r="E3899" i="8"/>
  <c r="E3898" i="8"/>
  <c r="E3897" i="8"/>
  <c r="E3896" i="8"/>
  <c r="E3895" i="8"/>
  <c r="E3894" i="8"/>
  <c r="E3893" i="8"/>
  <c r="E3892" i="8"/>
  <c r="E3891" i="8"/>
  <c r="E3890" i="8"/>
  <c r="E3889" i="8"/>
  <c r="E3888" i="8"/>
  <c r="E3887" i="8"/>
  <c r="E3886" i="8"/>
  <c r="E3885" i="8"/>
  <c r="E3884" i="8"/>
  <c r="E3883" i="8"/>
  <c r="E3882" i="8"/>
  <c r="E3881" i="8"/>
  <c r="E3880" i="8"/>
  <c r="E3879" i="8"/>
  <c r="E3878" i="8"/>
  <c r="E3877" i="8"/>
  <c r="E3876" i="8"/>
  <c r="E3875" i="8"/>
  <c r="E3874" i="8"/>
  <c r="E3873" i="8"/>
  <c r="E3872" i="8"/>
  <c r="E3871" i="8"/>
  <c r="E3870" i="8"/>
  <c r="E3869" i="8"/>
  <c r="E3868" i="8"/>
  <c r="E3867" i="8"/>
  <c r="E3866" i="8"/>
  <c r="E3865" i="8"/>
  <c r="E3864" i="8"/>
  <c r="E3863" i="8"/>
  <c r="E3862" i="8"/>
  <c r="E3861" i="8"/>
  <c r="E3860" i="8"/>
  <c r="E3859" i="8"/>
  <c r="E3858" i="8"/>
  <c r="E3857" i="8"/>
  <c r="E3856" i="8"/>
  <c r="E3855" i="8"/>
  <c r="E3854" i="8"/>
  <c r="E3853" i="8"/>
  <c r="E3852" i="8"/>
  <c r="E3851" i="8"/>
  <c r="E3850" i="8"/>
  <c r="E3849" i="8"/>
  <c r="E3848" i="8"/>
  <c r="E3847" i="8"/>
  <c r="E3846" i="8"/>
  <c r="E3845" i="8"/>
  <c r="E3844" i="8"/>
  <c r="E3843" i="8"/>
  <c r="E3842" i="8"/>
  <c r="E3841" i="8"/>
  <c r="E3840" i="8"/>
  <c r="E3839" i="8"/>
  <c r="E3838" i="8"/>
  <c r="E3837" i="8"/>
  <c r="E3836" i="8"/>
  <c r="E3835" i="8"/>
  <c r="E3834" i="8"/>
  <c r="E3833" i="8"/>
  <c r="E3832" i="8"/>
  <c r="E3831" i="8"/>
  <c r="E3830" i="8"/>
  <c r="E3829" i="8"/>
  <c r="E3828" i="8"/>
  <c r="E3827" i="8"/>
  <c r="E3826" i="8"/>
  <c r="E3825" i="8"/>
  <c r="E3824" i="8"/>
  <c r="E3823" i="8"/>
  <c r="E3822" i="8"/>
  <c r="E3821" i="8"/>
  <c r="E3820" i="8"/>
  <c r="E3819" i="8"/>
  <c r="E3818" i="8"/>
  <c r="E3817" i="8"/>
  <c r="E3816" i="8"/>
  <c r="E3815" i="8"/>
  <c r="E3814" i="8"/>
  <c r="E3813" i="8"/>
  <c r="E3812" i="8"/>
  <c r="E3811" i="8"/>
  <c r="E3810" i="8"/>
  <c r="E3809" i="8"/>
  <c r="E3808" i="8"/>
  <c r="E3807" i="8"/>
  <c r="E3806" i="8"/>
  <c r="E3805" i="8"/>
  <c r="E3804" i="8"/>
  <c r="E3803" i="8"/>
  <c r="E3802" i="8"/>
  <c r="E3801" i="8"/>
  <c r="E3800" i="8"/>
  <c r="E3799" i="8"/>
  <c r="E3798" i="8"/>
  <c r="E3797" i="8"/>
  <c r="E3796" i="8"/>
  <c r="E3795" i="8"/>
  <c r="E3794" i="8"/>
  <c r="E3793" i="8"/>
  <c r="E3792" i="8"/>
  <c r="E3791" i="8"/>
  <c r="E3790" i="8"/>
  <c r="E3789" i="8"/>
  <c r="E3788" i="8"/>
  <c r="E3787" i="8"/>
  <c r="E3786" i="8"/>
  <c r="E3785" i="8"/>
  <c r="E3784" i="8"/>
  <c r="E3783" i="8"/>
  <c r="E3782" i="8"/>
  <c r="E3781" i="8"/>
  <c r="E3780" i="8"/>
  <c r="E3779" i="8"/>
  <c r="E3778" i="8"/>
  <c r="E3777" i="8"/>
  <c r="E3776" i="8"/>
  <c r="E3775" i="8"/>
  <c r="E3774" i="8"/>
  <c r="E3773" i="8"/>
  <c r="E3772" i="8"/>
  <c r="E3771" i="8"/>
  <c r="E3770" i="8"/>
  <c r="E3769" i="8"/>
  <c r="E3768" i="8"/>
  <c r="E3767" i="8"/>
  <c r="E3766" i="8"/>
  <c r="E3765" i="8"/>
  <c r="E3764" i="8"/>
  <c r="E3763" i="8"/>
  <c r="E3762" i="8"/>
  <c r="E3761" i="8"/>
  <c r="E3760" i="8"/>
  <c r="E3759" i="8"/>
  <c r="E3758" i="8"/>
  <c r="E3757" i="8"/>
  <c r="E3756" i="8"/>
  <c r="E3755" i="8"/>
  <c r="E3754" i="8"/>
  <c r="E3753" i="8"/>
  <c r="E3752" i="8"/>
  <c r="E3751" i="8"/>
  <c r="E3750" i="8"/>
  <c r="E3749" i="8"/>
  <c r="E3748" i="8"/>
  <c r="E3747" i="8"/>
  <c r="E3746" i="8"/>
  <c r="E3745" i="8"/>
  <c r="E3744" i="8"/>
  <c r="E3743" i="8"/>
  <c r="E3742" i="8"/>
  <c r="E3741" i="8"/>
  <c r="E3740" i="8"/>
  <c r="E3739" i="8"/>
  <c r="E3738" i="8"/>
  <c r="E3737" i="8"/>
  <c r="E3736" i="8"/>
  <c r="E3735" i="8"/>
  <c r="E3734" i="8"/>
  <c r="E3733" i="8"/>
  <c r="E3732" i="8"/>
  <c r="E3731" i="8"/>
  <c r="E3730" i="8"/>
  <c r="E3729" i="8"/>
  <c r="E3728" i="8"/>
  <c r="E3727" i="8"/>
  <c r="E3726" i="8"/>
  <c r="E3725" i="8"/>
  <c r="E3724" i="8"/>
  <c r="E3723" i="8"/>
  <c r="E3722" i="8"/>
  <c r="E3721" i="8"/>
  <c r="E3720" i="8"/>
  <c r="E3719" i="8"/>
  <c r="E3718" i="8"/>
  <c r="E3717" i="8"/>
  <c r="E3716" i="8"/>
  <c r="E3715" i="8"/>
  <c r="E3714" i="8"/>
  <c r="E3713" i="8"/>
  <c r="E3712" i="8"/>
  <c r="E3711" i="8"/>
  <c r="E3710" i="8"/>
  <c r="E3709" i="8"/>
  <c r="E3708" i="8"/>
  <c r="E3707" i="8"/>
  <c r="E3706" i="8"/>
  <c r="E3705" i="8"/>
  <c r="E3704" i="8"/>
  <c r="E3703" i="8"/>
  <c r="E3702" i="8"/>
  <c r="E3701" i="8"/>
  <c r="E3700" i="8"/>
  <c r="E3699" i="8"/>
  <c r="E3698" i="8"/>
  <c r="E3697" i="8"/>
  <c r="E3696" i="8"/>
  <c r="E3695" i="8"/>
  <c r="E3694" i="8"/>
  <c r="E3693" i="8"/>
  <c r="E3692" i="8"/>
  <c r="E3691" i="8"/>
  <c r="E3690" i="8"/>
  <c r="E3689" i="8"/>
  <c r="E3688" i="8"/>
  <c r="E3687" i="8"/>
  <c r="E3686" i="8"/>
  <c r="E3685" i="8"/>
  <c r="E3684" i="8"/>
  <c r="E3683" i="8"/>
  <c r="E3682" i="8"/>
  <c r="E3681" i="8"/>
  <c r="E3680" i="8"/>
  <c r="E3679" i="8"/>
  <c r="E3678" i="8"/>
  <c r="E3677" i="8"/>
  <c r="E3676" i="8"/>
  <c r="E3675" i="8"/>
  <c r="E3674" i="8"/>
  <c r="E3673" i="8"/>
  <c r="E3672" i="8"/>
  <c r="E3671" i="8"/>
  <c r="E3670" i="8"/>
  <c r="E3669" i="8"/>
  <c r="E3668" i="8"/>
  <c r="E3667" i="8"/>
  <c r="E3666" i="8"/>
  <c r="E3665" i="8"/>
  <c r="E3664" i="8"/>
  <c r="E3663" i="8"/>
  <c r="E3662" i="8"/>
  <c r="E3661" i="8"/>
  <c r="E3660" i="8"/>
  <c r="E3659" i="8"/>
  <c r="E3658" i="8"/>
  <c r="E3657" i="8"/>
  <c r="E3656" i="8"/>
  <c r="E3655" i="8"/>
  <c r="E3654" i="8"/>
  <c r="E3653" i="8"/>
  <c r="E3652" i="8"/>
  <c r="E3651" i="8"/>
  <c r="E3650" i="8"/>
  <c r="E3649" i="8"/>
  <c r="E3648" i="8"/>
  <c r="E3647" i="8"/>
  <c r="E3646" i="8"/>
  <c r="E3645" i="8"/>
  <c r="E3644" i="8"/>
  <c r="E3643" i="8"/>
  <c r="E3642" i="8"/>
  <c r="E3641" i="8"/>
  <c r="E3640" i="8"/>
  <c r="E3639" i="8"/>
  <c r="E3638" i="8"/>
  <c r="E3637" i="8"/>
  <c r="E3636" i="8"/>
  <c r="E3635" i="8"/>
  <c r="E3634" i="8"/>
  <c r="E3633" i="8"/>
  <c r="E3632" i="8"/>
  <c r="E3631" i="8"/>
  <c r="E3630" i="8"/>
  <c r="E3629" i="8"/>
  <c r="E3628" i="8"/>
  <c r="E3627" i="8"/>
  <c r="E3626" i="8"/>
  <c r="E3625" i="8"/>
  <c r="E3624" i="8"/>
  <c r="E3623" i="8"/>
  <c r="E3622" i="8"/>
  <c r="E3621" i="8"/>
  <c r="E3620" i="8"/>
  <c r="E3619" i="8"/>
  <c r="E3618" i="8"/>
  <c r="E3617" i="8"/>
  <c r="E3616" i="8"/>
  <c r="E3615" i="8"/>
  <c r="E3614" i="8"/>
  <c r="E3613" i="8"/>
  <c r="E3612" i="8"/>
  <c r="E3611" i="8"/>
  <c r="E3610" i="8"/>
  <c r="E3609" i="8"/>
  <c r="E3608" i="8"/>
  <c r="E3607" i="8"/>
  <c r="E3606" i="8"/>
  <c r="E3605" i="8"/>
  <c r="E3604" i="8"/>
  <c r="E3603" i="8"/>
  <c r="E3602" i="8"/>
  <c r="E3601" i="8"/>
  <c r="E3600" i="8"/>
  <c r="E3599" i="8"/>
  <c r="E3598" i="8"/>
  <c r="E3597" i="8"/>
  <c r="E3596" i="8"/>
  <c r="E3595" i="8"/>
  <c r="E3594" i="8"/>
  <c r="E3593" i="8"/>
  <c r="E3592" i="8"/>
  <c r="E3591" i="8"/>
  <c r="E3590" i="8"/>
  <c r="E3589" i="8"/>
  <c r="E3588" i="8"/>
  <c r="E3587" i="8"/>
  <c r="E3586" i="8"/>
  <c r="E3585" i="8"/>
  <c r="E3584" i="8"/>
  <c r="E3583" i="8"/>
  <c r="E3582" i="8"/>
  <c r="E3581" i="8"/>
  <c r="E3580" i="8"/>
  <c r="E3579" i="8"/>
  <c r="E3578" i="8"/>
  <c r="E3577" i="8"/>
  <c r="E3576" i="8"/>
  <c r="E3575" i="8"/>
  <c r="E3574" i="8"/>
  <c r="E3573" i="8"/>
  <c r="E3572" i="8"/>
  <c r="E3571" i="8"/>
  <c r="E3570" i="8"/>
  <c r="E3569" i="8"/>
  <c r="E3568" i="8"/>
  <c r="E3567" i="8"/>
  <c r="E3566" i="8"/>
  <c r="E3565" i="8"/>
  <c r="E3564" i="8"/>
  <c r="E3563" i="8"/>
  <c r="E3562" i="8"/>
  <c r="E3561" i="8"/>
  <c r="E3560" i="8"/>
  <c r="E3559" i="8"/>
  <c r="E3558" i="8"/>
  <c r="E3557" i="8"/>
  <c r="E3556" i="8"/>
  <c r="E3555" i="8"/>
  <c r="E3554" i="8"/>
  <c r="E3553" i="8"/>
  <c r="E3552" i="8"/>
  <c r="E3551" i="8"/>
  <c r="E3550" i="8"/>
  <c r="E3549" i="8"/>
  <c r="E3548" i="8"/>
  <c r="E3547" i="8"/>
  <c r="E3546" i="8"/>
  <c r="E3545" i="8"/>
  <c r="E3544" i="8"/>
  <c r="E3543" i="8"/>
  <c r="E3542" i="8"/>
  <c r="E3541" i="8"/>
  <c r="E3540" i="8"/>
  <c r="E3539" i="8"/>
  <c r="E3538" i="8"/>
  <c r="E3537" i="8"/>
  <c r="E3536" i="8"/>
  <c r="E3535" i="8"/>
  <c r="E3534" i="8"/>
  <c r="E3533" i="8"/>
  <c r="E3532" i="8"/>
  <c r="E3531" i="8"/>
  <c r="E3530" i="8"/>
  <c r="E3529" i="8"/>
  <c r="E3528" i="8"/>
  <c r="E3527" i="8"/>
  <c r="E3526" i="8"/>
  <c r="E3525" i="8"/>
  <c r="E3524" i="8"/>
  <c r="E3523" i="8"/>
  <c r="E3522" i="8"/>
  <c r="E3521" i="8"/>
  <c r="E3520" i="8"/>
  <c r="E3519" i="8"/>
  <c r="E3518" i="8"/>
  <c r="E3517" i="8"/>
  <c r="E3516" i="8"/>
  <c r="E3515" i="8"/>
  <c r="E3514" i="8"/>
  <c r="E3513" i="8"/>
  <c r="E3512" i="8"/>
  <c r="E3511" i="8"/>
  <c r="E3510" i="8"/>
  <c r="E3509" i="8"/>
  <c r="E3508" i="8"/>
  <c r="E3507" i="8"/>
  <c r="E3506" i="8"/>
  <c r="E3505" i="8"/>
  <c r="E3504" i="8"/>
  <c r="E3503" i="8"/>
  <c r="E3502" i="8"/>
  <c r="E3501" i="8"/>
  <c r="E3500" i="8"/>
  <c r="E3499" i="8"/>
  <c r="E3498" i="8"/>
  <c r="E3497" i="8"/>
  <c r="E3496" i="8"/>
  <c r="E3495" i="8"/>
  <c r="E3494" i="8"/>
  <c r="E3493" i="8"/>
  <c r="E3492" i="8"/>
  <c r="E3491" i="8"/>
  <c r="E3490" i="8"/>
  <c r="E3489" i="8"/>
  <c r="E3488" i="8"/>
  <c r="E3487" i="8"/>
  <c r="E3486" i="8"/>
  <c r="E3485" i="8"/>
  <c r="E3484" i="8"/>
  <c r="E3483" i="8"/>
  <c r="E3482" i="8"/>
  <c r="E3481" i="8"/>
  <c r="E3480" i="8"/>
  <c r="E3479" i="8"/>
  <c r="E3478" i="8"/>
  <c r="E3477" i="8"/>
  <c r="E3476" i="8"/>
  <c r="E3475" i="8"/>
  <c r="E3474" i="8"/>
  <c r="E3473" i="8"/>
  <c r="E3472" i="8"/>
  <c r="E3471" i="8"/>
  <c r="E3470" i="8"/>
  <c r="E3469" i="8"/>
  <c r="E3468" i="8"/>
  <c r="E3467" i="8"/>
  <c r="E3466" i="8"/>
  <c r="E3465" i="8"/>
  <c r="E3464" i="8"/>
  <c r="E3463" i="8"/>
  <c r="E3462" i="8"/>
  <c r="E3461" i="8"/>
  <c r="E3460" i="8"/>
  <c r="E3459" i="8"/>
  <c r="E3458" i="8"/>
  <c r="E3457" i="8"/>
  <c r="E3456" i="8"/>
  <c r="E3455" i="8"/>
  <c r="E3454" i="8"/>
  <c r="E3453" i="8"/>
  <c r="E3452" i="8"/>
  <c r="E3451" i="8"/>
  <c r="E3450" i="8"/>
  <c r="E3449" i="8"/>
  <c r="E3448" i="8"/>
  <c r="E3447" i="8"/>
  <c r="E3446" i="8"/>
  <c r="E3445" i="8"/>
  <c r="E3444" i="8"/>
  <c r="E3443" i="8"/>
  <c r="E3442" i="8"/>
  <c r="E3441" i="8"/>
  <c r="E3440" i="8"/>
  <c r="E3439" i="8"/>
  <c r="E3438" i="8"/>
  <c r="E3437" i="8"/>
  <c r="E3436" i="8"/>
  <c r="E3435" i="8"/>
  <c r="E3434" i="8"/>
  <c r="E3433" i="8"/>
  <c r="E3432" i="8"/>
  <c r="E3431" i="8"/>
  <c r="E3430" i="8"/>
  <c r="E3429" i="8"/>
  <c r="E3428" i="8"/>
  <c r="E3427" i="8"/>
  <c r="E3426" i="8"/>
  <c r="E3425" i="8"/>
  <c r="E3424" i="8"/>
  <c r="E3423" i="8"/>
  <c r="E3422" i="8"/>
  <c r="E3421" i="8"/>
  <c r="E3420" i="8"/>
  <c r="E3419" i="8"/>
  <c r="E3418" i="8"/>
  <c r="E3417" i="8"/>
  <c r="E3416" i="8"/>
  <c r="E3415" i="8"/>
  <c r="E3414" i="8"/>
  <c r="E3413" i="8"/>
  <c r="E3412" i="8"/>
  <c r="E3411" i="8"/>
  <c r="E3410" i="8"/>
  <c r="E3409" i="8"/>
  <c r="E3408" i="8"/>
  <c r="E3407" i="8"/>
  <c r="E3406" i="8"/>
  <c r="E3405" i="8"/>
  <c r="E3404" i="8"/>
  <c r="E3403" i="8"/>
  <c r="E3402" i="8"/>
  <c r="E3401" i="8"/>
  <c r="E3400" i="8"/>
  <c r="E3399" i="8"/>
  <c r="E3398" i="8"/>
  <c r="E3397" i="8"/>
  <c r="E3396" i="8"/>
  <c r="E3395" i="8"/>
  <c r="E3394" i="8"/>
  <c r="E3393" i="8"/>
  <c r="E3392" i="8"/>
  <c r="E3391" i="8"/>
  <c r="E3390" i="8"/>
  <c r="E3389" i="8"/>
  <c r="E3388" i="8"/>
  <c r="E3387" i="8"/>
  <c r="E3386" i="8"/>
  <c r="E3385" i="8"/>
  <c r="E3384" i="8"/>
  <c r="E3383" i="8"/>
  <c r="E3382" i="8"/>
  <c r="E3381" i="8"/>
  <c r="E3380" i="8"/>
  <c r="E3379" i="8"/>
  <c r="E3378" i="8"/>
  <c r="E3377" i="8"/>
  <c r="E3376" i="8"/>
  <c r="E3375" i="8"/>
  <c r="E3374" i="8"/>
  <c r="E3373" i="8"/>
  <c r="E3372" i="8"/>
  <c r="E3371" i="8"/>
  <c r="E3370" i="8"/>
  <c r="E3369" i="8"/>
  <c r="E3368" i="8"/>
  <c r="E3367" i="8"/>
  <c r="E3366" i="8"/>
  <c r="E3365" i="8"/>
  <c r="E3364" i="8"/>
  <c r="E3363" i="8"/>
  <c r="E3362" i="8"/>
  <c r="E3361" i="8"/>
  <c r="E3360" i="8"/>
  <c r="E3359" i="8"/>
  <c r="E3358" i="8"/>
  <c r="E3357" i="8"/>
  <c r="E3356" i="8"/>
  <c r="E3355" i="8"/>
  <c r="E3354" i="8"/>
  <c r="E3353" i="8"/>
  <c r="E3352" i="8"/>
  <c r="E3351" i="8"/>
  <c r="E3350" i="8"/>
  <c r="E3349" i="8"/>
  <c r="E3348" i="8"/>
  <c r="E3347" i="8"/>
  <c r="E3346" i="8"/>
  <c r="E3345" i="8"/>
  <c r="E3344" i="8"/>
  <c r="E3343" i="8"/>
  <c r="E3342" i="8"/>
  <c r="E3341" i="8"/>
  <c r="E3340" i="8"/>
  <c r="E3339" i="8"/>
  <c r="E3338" i="8"/>
  <c r="E3337" i="8"/>
  <c r="E3336" i="8"/>
  <c r="E3335" i="8"/>
  <c r="E3334" i="8"/>
  <c r="E3333" i="8"/>
  <c r="E3332" i="8"/>
  <c r="E3331" i="8"/>
  <c r="E3330" i="8"/>
  <c r="E3329" i="8"/>
  <c r="E3328" i="8"/>
  <c r="E3327" i="8"/>
  <c r="E3326" i="8"/>
  <c r="E3325" i="8"/>
  <c r="E3324" i="8"/>
  <c r="E3323" i="8"/>
  <c r="E3322" i="8"/>
  <c r="E3321" i="8"/>
  <c r="E3320" i="8"/>
  <c r="E3319" i="8"/>
  <c r="E3318" i="8"/>
  <c r="E3317" i="8"/>
  <c r="E3316" i="8"/>
  <c r="E3315" i="8"/>
  <c r="E3314" i="8"/>
  <c r="E3313" i="8"/>
  <c r="E3312" i="8"/>
  <c r="E3311" i="8"/>
  <c r="E3310" i="8"/>
  <c r="E3309" i="8"/>
  <c r="E3308" i="8"/>
  <c r="E3307" i="8"/>
  <c r="E3306" i="8"/>
  <c r="E3305" i="8"/>
  <c r="E3304" i="8"/>
  <c r="E3303" i="8"/>
  <c r="E3302" i="8"/>
  <c r="E3301" i="8"/>
  <c r="E3300" i="8"/>
  <c r="E3299" i="8"/>
  <c r="E3298" i="8"/>
  <c r="E3297" i="8"/>
  <c r="E3296" i="8"/>
  <c r="E3295" i="8"/>
  <c r="E3294" i="8"/>
  <c r="E3293" i="8"/>
  <c r="E3292" i="8"/>
  <c r="E3291" i="8"/>
  <c r="E3290" i="8"/>
  <c r="E3289" i="8"/>
  <c r="E3288" i="8"/>
  <c r="E3287" i="8"/>
  <c r="E3286" i="8"/>
  <c r="E3285" i="8"/>
  <c r="E3284" i="8"/>
  <c r="E3283" i="8"/>
  <c r="E3282" i="8"/>
  <c r="E3281" i="8"/>
  <c r="E3280" i="8"/>
  <c r="E3279" i="8"/>
  <c r="E3278" i="8"/>
  <c r="E3277" i="8"/>
  <c r="E3276" i="8"/>
  <c r="E3275" i="8"/>
  <c r="E3274" i="8"/>
  <c r="E3273" i="8"/>
  <c r="E3272" i="8"/>
  <c r="E3271" i="8"/>
  <c r="E3270" i="8"/>
  <c r="E3269" i="8"/>
  <c r="E3268" i="8"/>
  <c r="E3267" i="8"/>
  <c r="E3266" i="8"/>
  <c r="E3265" i="8"/>
  <c r="E3264" i="8"/>
  <c r="E3263" i="8"/>
  <c r="E3262" i="8"/>
  <c r="E3261" i="8"/>
  <c r="E3260" i="8"/>
  <c r="E3259" i="8"/>
  <c r="E3258" i="8"/>
  <c r="E3257" i="8"/>
  <c r="E3256" i="8"/>
  <c r="E3255" i="8"/>
  <c r="E3254" i="8"/>
  <c r="E3253" i="8"/>
  <c r="E3252" i="8"/>
  <c r="E3251" i="8"/>
  <c r="E3250" i="8"/>
  <c r="E3249" i="8"/>
  <c r="E3248" i="8"/>
  <c r="E3247" i="8"/>
  <c r="E3246" i="8"/>
  <c r="E3245" i="8"/>
  <c r="E3244" i="8"/>
  <c r="E3243" i="8"/>
  <c r="E3242" i="8"/>
  <c r="E3241" i="8"/>
  <c r="E3240" i="8"/>
  <c r="E3239" i="8"/>
  <c r="E3238" i="8"/>
  <c r="E3237" i="8"/>
  <c r="E3236" i="8"/>
  <c r="E3235" i="8"/>
  <c r="E3234" i="8"/>
  <c r="E3233" i="8"/>
  <c r="E3232" i="8"/>
  <c r="E3231" i="8"/>
  <c r="E3230" i="8"/>
  <c r="E3229" i="8"/>
  <c r="E3228" i="8"/>
  <c r="E3227" i="8"/>
  <c r="E3226" i="8"/>
  <c r="E3225" i="8"/>
  <c r="E3224" i="8"/>
  <c r="E3223" i="8"/>
  <c r="E3222" i="8"/>
  <c r="E3221" i="8"/>
  <c r="E3220" i="8"/>
  <c r="E3219" i="8"/>
  <c r="E3218" i="8"/>
  <c r="E3217" i="8"/>
  <c r="E3216" i="8"/>
  <c r="E3215" i="8"/>
  <c r="E3214" i="8"/>
  <c r="E3213" i="8"/>
  <c r="E3212" i="8"/>
  <c r="E3211" i="8"/>
  <c r="E3210" i="8"/>
  <c r="E3209" i="8"/>
  <c r="E3208" i="8"/>
  <c r="E3207" i="8"/>
  <c r="E3206" i="8"/>
  <c r="E3205" i="8"/>
  <c r="E3204" i="8"/>
  <c r="E3203" i="8"/>
  <c r="E3202" i="8"/>
  <c r="E3201" i="8"/>
  <c r="E3200" i="8"/>
  <c r="E3199" i="8"/>
  <c r="E3198" i="8"/>
  <c r="E3197" i="8"/>
  <c r="E3196" i="8"/>
  <c r="E3195" i="8"/>
  <c r="E3194" i="8"/>
  <c r="E3193" i="8"/>
  <c r="E3192" i="8"/>
  <c r="E3191" i="8"/>
  <c r="E3190" i="8"/>
  <c r="E3189" i="8"/>
  <c r="E3188" i="8"/>
  <c r="E3187" i="8"/>
  <c r="E3186" i="8"/>
  <c r="E3185" i="8"/>
  <c r="E3184" i="8"/>
  <c r="E3183" i="8"/>
  <c r="E3182" i="8"/>
  <c r="E3181" i="8"/>
  <c r="E3180" i="8"/>
  <c r="E3179" i="8"/>
  <c r="E3178" i="8"/>
  <c r="E3177" i="8"/>
  <c r="E3176" i="8"/>
  <c r="E3175" i="8"/>
  <c r="E3174" i="8"/>
  <c r="E3173" i="8"/>
  <c r="E3172" i="8"/>
  <c r="E3171" i="8"/>
  <c r="E3170" i="8"/>
  <c r="E3169" i="8"/>
  <c r="E3168" i="8"/>
  <c r="E3167" i="8"/>
  <c r="E3166" i="8"/>
  <c r="E3165" i="8"/>
  <c r="E3164" i="8"/>
  <c r="E3163" i="8"/>
  <c r="E3162" i="8"/>
  <c r="E3161" i="8"/>
  <c r="E3160" i="8"/>
  <c r="E3159" i="8"/>
  <c r="E3158" i="8"/>
  <c r="E3157" i="8"/>
  <c r="E3156" i="8"/>
  <c r="E3155" i="8"/>
  <c r="E3154" i="8"/>
  <c r="E3153" i="8"/>
  <c r="E3152" i="8"/>
  <c r="E3151" i="8"/>
  <c r="E3150" i="8"/>
  <c r="E3149" i="8"/>
  <c r="E3148" i="8"/>
  <c r="E3147" i="8"/>
  <c r="E3146" i="8"/>
  <c r="E3145" i="8"/>
  <c r="E3144" i="8"/>
  <c r="E3143" i="8"/>
  <c r="E3142" i="8"/>
  <c r="E3141" i="8"/>
  <c r="E3140" i="8"/>
  <c r="E3139" i="8"/>
  <c r="E3138" i="8"/>
  <c r="E3137" i="8"/>
  <c r="E3136" i="8"/>
  <c r="E3135" i="8"/>
  <c r="E3134" i="8"/>
  <c r="E3133" i="8"/>
  <c r="E3132" i="8"/>
  <c r="E3131" i="8"/>
  <c r="E3130" i="8"/>
  <c r="E3129" i="8"/>
  <c r="E3128" i="8"/>
  <c r="E3127" i="8"/>
  <c r="E3126" i="8"/>
  <c r="E3125" i="8"/>
  <c r="E3124" i="8"/>
  <c r="E3123" i="8"/>
  <c r="E3122" i="8"/>
  <c r="E3121" i="8"/>
  <c r="E3120" i="8"/>
  <c r="E3119" i="8"/>
  <c r="E3118" i="8"/>
  <c r="E3117" i="8"/>
  <c r="E3116" i="8"/>
  <c r="E3115" i="8"/>
  <c r="E3114" i="8"/>
  <c r="E3113" i="8"/>
  <c r="E3112" i="8"/>
  <c r="E3111" i="8"/>
  <c r="E3110" i="8"/>
  <c r="E3109" i="8"/>
  <c r="E3108" i="8"/>
  <c r="E3107" i="8"/>
  <c r="E3106" i="8"/>
  <c r="E3105" i="8"/>
  <c r="E3104" i="8"/>
  <c r="E3103" i="8"/>
  <c r="E3102" i="8"/>
  <c r="E3101" i="8"/>
  <c r="E3100" i="8"/>
  <c r="E3099" i="8"/>
  <c r="E3098" i="8"/>
  <c r="E3097" i="8"/>
  <c r="E3096" i="8"/>
  <c r="E3095" i="8"/>
  <c r="E3094" i="8"/>
  <c r="E3093" i="8"/>
  <c r="E3092" i="8"/>
  <c r="E3091" i="8"/>
  <c r="E3090" i="8"/>
  <c r="E3089" i="8"/>
  <c r="E3088" i="8"/>
  <c r="E3087" i="8"/>
  <c r="E3086" i="8"/>
  <c r="E3085" i="8"/>
  <c r="E3084" i="8"/>
  <c r="E3083" i="8"/>
  <c r="E3082" i="8"/>
  <c r="E3081" i="8"/>
  <c r="E3080" i="8"/>
  <c r="E3079" i="8"/>
  <c r="E3078" i="8"/>
  <c r="E3077" i="8"/>
  <c r="E3076" i="8"/>
  <c r="E3075" i="8"/>
  <c r="E3074" i="8"/>
  <c r="E3073" i="8"/>
  <c r="E3072" i="8"/>
  <c r="E3071" i="8"/>
  <c r="E3070" i="8"/>
  <c r="E3069" i="8"/>
  <c r="E3068" i="8"/>
  <c r="E3067" i="8"/>
  <c r="E3066" i="8"/>
  <c r="E3065" i="8"/>
  <c r="E3064" i="8"/>
  <c r="E3063" i="8"/>
  <c r="E3062" i="8"/>
  <c r="E3061" i="8"/>
  <c r="E3060" i="8"/>
  <c r="E3059" i="8"/>
  <c r="E3058" i="8"/>
  <c r="E3057" i="8"/>
  <c r="E3056" i="8"/>
  <c r="E3055" i="8"/>
  <c r="E3054" i="8"/>
  <c r="E3053" i="8"/>
  <c r="E3052" i="8"/>
  <c r="E3051" i="8"/>
  <c r="E3050" i="8"/>
  <c r="E3049" i="8"/>
  <c r="E3048" i="8"/>
  <c r="E3047" i="8"/>
  <c r="E3046" i="8"/>
  <c r="E3045" i="8"/>
  <c r="E3044" i="8"/>
  <c r="E3043" i="8"/>
  <c r="E3042" i="8"/>
  <c r="E3041" i="8"/>
  <c r="E3040" i="8"/>
  <c r="E3039" i="8"/>
  <c r="E3038" i="8"/>
  <c r="E3037" i="8"/>
  <c r="E3036" i="8"/>
  <c r="E3035" i="8"/>
  <c r="E3034" i="8"/>
  <c r="E3033" i="8"/>
  <c r="E3032" i="8"/>
  <c r="E3031" i="8"/>
  <c r="E3030" i="8"/>
  <c r="E3029" i="8"/>
  <c r="E3028" i="8"/>
  <c r="E3027" i="8"/>
  <c r="E3026" i="8"/>
  <c r="E3025" i="8"/>
  <c r="E3024" i="8"/>
  <c r="E3023" i="8"/>
  <c r="E3022" i="8"/>
  <c r="E3021" i="8"/>
  <c r="E3020" i="8"/>
  <c r="E3019" i="8"/>
  <c r="E3018" i="8"/>
  <c r="E3017" i="8"/>
  <c r="E3016" i="8"/>
  <c r="E3015" i="8"/>
  <c r="E3014" i="8"/>
  <c r="E3013" i="8"/>
  <c r="E3012" i="8"/>
  <c r="E3011" i="8"/>
  <c r="E3010" i="8"/>
  <c r="E3009" i="8"/>
  <c r="E3008" i="8"/>
  <c r="E3007" i="8"/>
  <c r="E3006" i="8"/>
  <c r="E3005" i="8"/>
  <c r="E3004" i="8"/>
  <c r="E3003" i="8"/>
  <c r="E3002" i="8"/>
  <c r="E3001" i="8"/>
  <c r="E3000" i="8"/>
  <c r="E2999" i="8"/>
  <c r="E2998" i="8"/>
  <c r="E2997" i="8"/>
  <c r="E2996" i="8"/>
  <c r="E2995" i="8"/>
  <c r="E2994" i="8"/>
  <c r="E2993" i="8"/>
  <c r="E2992" i="8"/>
  <c r="E2991" i="8"/>
  <c r="E2990" i="8"/>
  <c r="E2989" i="8"/>
  <c r="E2988" i="8"/>
  <c r="E2987" i="8"/>
  <c r="E2986" i="8"/>
  <c r="E2985" i="8"/>
  <c r="E2984" i="8"/>
  <c r="E2983" i="8"/>
  <c r="E2982" i="8"/>
  <c r="E2981" i="8"/>
  <c r="E2980" i="8"/>
  <c r="E2979" i="8"/>
  <c r="E2978" i="8"/>
  <c r="E2977" i="8"/>
  <c r="E2976" i="8"/>
  <c r="E2975" i="8"/>
  <c r="E2974" i="8"/>
  <c r="E2973" i="8"/>
  <c r="E2972" i="8"/>
  <c r="E2971" i="8"/>
  <c r="E2970" i="8"/>
  <c r="E2969" i="8"/>
  <c r="E2968" i="8"/>
  <c r="E2967" i="8"/>
  <c r="E2966" i="8"/>
  <c r="E2965" i="8"/>
  <c r="E2964" i="8"/>
  <c r="E2963" i="8"/>
  <c r="E2962" i="8"/>
  <c r="E2961" i="8"/>
  <c r="E2960" i="8"/>
  <c r="E2959" i="8"/>
  <c r="E2958" i="8"/>
  <c r="E2957" i="8"/>
  <c r="E2956" i="8"/>
  <c r="E2955" i="8"/>
  <c r="E2954" i="8"/>
  <c r="E2953" i="8"/>
  <c r="E2952" i="8"/>
  <c r="E2951" i="8"/>
  <c r="E2950" i="8"/>
  <c r="E2949" i="8"/>
  <c r="E2948" i="8"/>
  <c r="E2947" i="8"/>
  <c r="E2946" i="8"/>
  <c r="E2945" i="8"/>
  <c r="E2944" i="8"/>
  <c r="E2943" i="8"/>
  <c r="E2942" i="8"/>
  <c r="E2941" i="8"/>
  <c r="E2940" i="8"/>
  <c r="E2939" i="8"/>
  <c r="E2938" i="8"/>
  <c r="E2937" i="8"/>
  <c r="E2936" i="8"/>
  <c r="E2935" i="8"/>
  <c r="E2934" i="8"/>
  <c r="E2933" i="8"/>
  <c r="E2932" i="8"/>
  <c r="E2931" i="8"/>
  <c r="E2930" i="8"/>
  <c r="E2929" i="8"/>
  <c r="E2928" i="8"/>
  <c r="E2927" i="8"/>
  <c r="E2926" i="8"/>
  <c r="E2925" i="8"/>
  <c r="E2924" i="8"/>
  <c r="E2923" i="8"/>
  <c r="E2922" i="8"/>
  <c r="E2921" i="8"/>
  <c r="E2920" i="8"/>
  <c r="E2919" i="8"/>
  <c r="E2918" i="8"/>
  <c r="E2917" i="8"/>
  <c r="E2916" i="8"/>
  <c r="E2915" i="8"/>
  <c r="E2914" i="8"/>
  <c r="E2913" i="8"/>
  <c r="E2912" i="8"/>
  <c r="E2911" i="8"/>
  <c r="E2910" i="8"/>
  <c r="E2909" i="8"/>
  <c r="E2908" i="8"/>
  <c r="E2907" i="8"/>
  <c r="E2906" i="8"/>
  <c r="E2905" i="8"/>
  <c r="E2904" i="8"/>
  <c r="E2903" i="8"/>
  <c r="E2902" i="8"/>
  <c r="E2901" i="8"/>
  <c r="E2900" i="8"/>
  <c r="E2899" i="8"/>
  <c r="E2898" i="8"/>
  <c r="E2897" i="8"/>
  <c r="E2896" i="8"/>
  <c r="E2895" i="8"/>
  <c r="E2894" i="8"/>
  <c r="E2893" i="8"/>
  <c r="E2892" i="8"/>
  <c r="E2891" i="8"/>
  <c r="E2890" i="8"/>
  <c r="E2889" i="8"/>
  <c r="E2888" i="8"/>
  <c r="E2887" i="8"/>
  <c r="E2886" i="8"/>
  <c r="E2885" i="8"/>
  <c r="E2884" i="8"/>
  <c r="E2883" i="8"/>
  <c r="E2882" i="8"/>
  <c r="E2881" i="8"/>
  <c r="E2880" i="8"/>
  <c r="E2879" i="8"/>
  <c r="E2878" i="8"/>
  <c r="E2877" i="8"/>
  <c r="E2876" i="8"/>
  <c r="E2875" i="8"/>
  <c r="E2874" i="8"/>
  <c r="E2873" i="8"/>
  <c r="E2872" i="8"/>
  <c r="E2871" i="8"/>
  <c r="E2870" i="8"/>
  <c r="E2869" i="8"/>
  <c r="E2868" i="8"/>
  <c r="E2867" i="8"/>
  <c r="E2866" i="8"/>
  <c r="E2865" i="8"/>
  <c r="E2864" i="8"/>
  <c r="E2863" i="8"/>
  <c r="E2862" i="8"/>
  <c r="E2861" i="8"/>
  <c r="E2860" i="8"/>
  <c r="E2859" i="8"/>
  <c r="E2858" i="8"/>
  <c r="E2857" i="8"/>
  <c r="E2856" i="8"/>
  <c r="E2855" i="8"/>
  <c r="E2854" i="8"/>
  <c r="E2853" i="8"/>
  <c r="E2852" i="8"/>
  <c r="E2851" i="8"/>
  <c r="E2850" i="8"/>
  <c r="E2849" i="8"/>
  <c r="E2848" i="8"/>
  <c r="E2847" i="8"/>
  <c r="E2846" i="8"/>
  <c r="E2845" i="8"/>
  <c r="E2844" i="8"/>
  <c r="E2843" i="8"/>
  <c r="E2842" i="8"/>
  <c r="E2841" i="8"/>
  <c r="E2840" i="8"/>
  <c r="E2839" i="8"/>
  <c r="E2838" i="8"/>
  <c r="E2837" i="8"/>
  <c r="E2836" i="8"/>
  <c r="E2835" i="8"/>
  <c r="E2834" i="8"/>
  <c r="E2833" i="8"/>
  <c r="E2832" i="8"/>
  <c r="E2831" i="8"/>
  <c r="E2830" i="8"/>
  <c r="E2829" i="8"/>
  <c r="E2828" i="8"/>
  <c r="E2827" i="8"/>
  <c r="E2826" i="8"/>
  <c r="E2825" i="8"/>
  <c r="E2824" i="8"/>
  <c r="E2823" i="8"/>
  <c r="E2822" i="8"/>
  <c r="E2821" i="8"/>
  <c r="E2820" i="8"/>
  <c r="E2819" i="8"/>
  <c r="E2818" i="8"/>
  <c r="E2817" i="8"/>
  <c r="E2816" i="8"/>
  <c r="E2815" i="8"/>
  <c r="E2814" i="8"/>
  <c r="E2813" i="8"/>
  <c r="E2812" i="8"/>
  <c r="E2811" i="8"/>
  <c r="E2810" i="8"/>
  <c r="E2809" i="8"/>
  <c r="E2808" i="8"/>
  <c r="E2807" i="8"/>
  <c r="E2806" i="8"/>
  <c r="E2805" i="8"/>
  <c r="E2804" i="8"/>
  <c r="E2803" i="8"/>
  <c r="E2802" i="8"/>
  <c r="E2801" i="8"/>
  <c r="E2800" i="8"/>
  <c r="E2799" i="8"/>
  <c r="E2798" i="8"/>
  <c r="E2797" i="8"/>
  <c r="E2796" i="8"/>
  <c r="E2795" i="8"/>
  <c r="F2794" i="8"/>
  <c r="E2794" i="8"/>
  <c r="B2794" i="8"/>
  <c r="A2794" i="8"/>
  <c r="F2793" i="8"/>
  <c r="E2793" i="8"/>
  <c r="C2793" i="8"/>
  <c r="B2793" i="8"/>
  <c r="A2793" i="8"/>
  <c r="F2792" i="8"/>
  <c r="E2792" i="8"/>
  <c r="C2792" i="8"/>
  <c r="B2792" i="8"/>
  <c r="A2792" i="8"/>
  <c r="F2791" i="8"/>
  <c r="E2791" i="8"/>
  <c r="C2791" i="8"/>
  <c r="B2791" i="8"/>
  <c r="A2791" i="8"/>
  <c r="F2790" i="8"/>
  <c r="E2790" i="8"/>
  <c r="C2790" i="8"/>
  <c r="B2790" i="8"/>
  <c r="A2790" i="8"/>
  <c r="F2789" i="8"/>
  <c r="E2789" i="8"/>
  <c r="C2789" i="8"/>
  <c r="B2789" i="8"/>
  <c r="A2789" i="8"/>
  <c r="F2788" i="8"/>
  <c r="E2788" i="8"/>
  <c r="C2788" i="8"/>
  <c r="B2788" i="8"/>
  <c r="A2788" i="8"/>
  <c r="F2787" i="8"/>
  <c r="E2787" i="8"/>
  <c r="C2787" i="8"/>
  <c r="B2787" i="8"/>
  <c r="A2787" i="8"/>
  <c r="F2786" i="8"/>
  <c r="E2786" i="8"/>
  <c r="C2786" i="8"/>
  <c r="B2786" i="8"/>
  <c r="A2786" i="8"/>
  <c r="F2785" i="8"/>
  <c r="E2785" i="8"/>
  <c r="C2785" i="8"/>
  <c r="B2785" i="8"/>
  <c r="A2785" i="8"/>
  <c r="F2784" i="8"/>
  <c r="E2784" i="8"/>
  <c r="C2784" i="8"/>
  <c r="B2784" i="8"/>
  <c r="A2784" i="8"/>
  <c r="F2783" i="8"/>
  <c r="E2783" i="8"/>
  <c r="C2783" i="8"/>
  <c r="B2783" i="8"/>
  <c r="A2783" i="8"/>
  <c r="F2782" i="8"/>
  <c r="E2782" i="8"/>
  <c r="C2782" i="8"/>
  <c r="B2782" i="8"/>
  <c r="A2782" i="8"/>
  <c r="F2781" i="8"/>
  <c r="E2781" i="8"/>
  <c r="C2781" i="8"/>
  <c r="B2781" i="8"/>
  <c r="A2781" i="8"/>
  <c r="F2780" i="8"/>
  <c r="E2780" i="8"/>
  <c r="C2780" i="8"/>
  <c r="B2780" i="8"/>
  <c r="A2780" i="8"/>
  <c r="F2779" i="8"/>
  <c r="E2779" i="8"/>
  <c r="C2779" i="8"/>
  <c r="B2779" i="8"/>
  <c r="A2779" i="8"/>
  <c r="F2778" i="8"/>
  <c r="E2778" i="8"/>
  <c r="C2778" i="8"/>
  <c r="B2778" i="8"/>
  <c r="A2778" i="8"/>
  <c r="F2777" i="8"/>
  <c r="E2777" i="8"/>
  <c r="C2777" i="8"/>
  <c r="B2777" i="8"/>
  <c r="A2777" i="8"/>
  <c r="F2776" i="8"/>
  <c r="E2776" i="8"/>
  <c r="C2776" i="8"/>
  <c r="B2776" i="8"/>
  <c r="A2776" i="8"/>
  <c r="F2775" i="8"/>
  <c r="E2775" i="8"/>
  <c r="C2775" i="8"/>
  <c r="B2775" i="8"/>
  <c r="A2775" i="8"/>
  <c r="F2774" i="8"/>
  <c r="E2774" i="8"/>
  <c r="C2774" i="8"/>
  <c r="B2774" i="8"/>
  <c r="A2774" i="8"/>
  <c r="F2773" i="8"/>
  <c r="E2773" i="8"/>
  <c r="C2773" i="8"/>
  <c r="B2773" i="8"/>
  <c r="A2773" i="8"/>
  <c r="F2772" i="8"/>
  <c r="E2772" i="8"/>
  <c r="C2772" i="8"/>
  <c r="B2772" i="8"/>
  <c r="A2772" i="8"/>
  <c r="F2771" i="8"/>
  <c r="E2771" i="8"/>
  <c r="C2771" i="8"/>
  <c r="B2771" i="8"/>
  <c r="A2771" i="8"/>
  <c r="F2770" i="8"/>
  <c r="E2770" i="8"/>
  <c r="C2770" i="8"/>
  <c r="B2770" i="8"/>
  <c r="A2770" i="8"/>
  <c r="F2769" i="8"/>
  <c r="E2769" i="8"/>
  <c r="C2769" i="8"/>
  <c r="B2769" i="8"/>
  <c r="A2769" i="8"/>
  <c r="F2768" i="8"/>
  <c r="E2768" i="8"/>
  <c r="D2768" i="8"/>
  <c r="C2768" i="8"/>
  <c r="B2768" i="8"/>
  <c r="A2768" i="8"/>
  <c r="E2767" i="8"/>
  <c r="C2767" i="8"/>
  <c r="B2767" i="8"/>
  <c r="F2766" i="8"/>
  <c r="E2766" i="8"/>
  <c r="D2766" i="8"/>
  <c r="C2766" i="8"/>
  <c r="B2766" i="8"/>
  <c r="A2766" i="8"/>
  <c r="F2765" i="8"/>
  <c r="E2765" i="8"/>
  <c r="D2765" i="8"/>
  <c r="C2765" i="8"/>
  <c r="B2765" i="8"/>
  <c r="A2765" i="8"/>
  <c r="F2764" i="8"/>
  <c r="E2764" i="8"/>
  <c r="D2764" i="8"/>
  <c r="C2764" i="8"/>
  <c r="B2764" i="8"/>
  <c r="A2764" i="8"/>
  <c r="F2763" i="8"/>
  <c r="E2763" i="8"/>
  <c r="B2763" i="8"/>
  <c r="A2763" i="8"/>
  <c r="F2762" i="8"/>
  <c r="E2762" i="8"/>
  <c r="B2762" i="8"/>
  <c r="A2762" i="8"/>
  <c r="F2761" i="8"/>
  <c r="E2761" i="8"/>
  <c r="D2761" i="8"/>
  <c r="C2761" i="8"/>
  <c r="B2761" i="8"/>
  <c r="A2761" i="8"/>
  <c r="F2760" i="8"/>
  <c r="E2760" i="8"/>
  <c r="B2760" i="8"/>
  <c r="A2760" i="8"/>
  <c r="F2759" i="8"/>
  <c r="E2759" i="8"/>
  <c r="B2759" i="8"/>
  <c r="A2759" i="8"/>
  <c r="F2758" i="8"/>
  <c r="E2758" i="8"/>
  <c r="C2758" i="8"/>
  <c r="B2758" i="8"/>
  <c r="A2758" i="8"/>
  <c r="F2757" i="8"/>
  <c r="E2757" i="8"/>
  <c r="B2757" i="8"/>
  <c r="A2757" i="8"/>
  <c r="F2756" i="8"/>
  <c r="E2756" i="8"/>
  <c r="B2756" i="8"/>
  <c r="A2756" i="8"/>
  <c r="F2755" i="8"/>
  <c r="E2755" i="8"/>
  <c r="C2755" i="8"/>
  <c r="B2755" i="8"/>
  <c r="A2755" i="8"/>
  <c r="F2754" i="8"/>
  <c r="E2754" i="8"/>
  <c r="B2754" i="8"/>
  <c r="A2754" i="8"/>
  <c r="E2753" i="8"/>
  <c r="D2753" i="8"/>
  <c r="C2753" i="8"/>
  <c r="B2753" i="8"/>
  <c r="F2752" i="8"/>
  <c r="E2752" i="8"/>
  <c r="D2752" i="8"/>
  <c r="C2752" i="8"/>
  <c r="B2752" i="8"/>
  <c r="A2752" i="8"/>
  <c r="F2751" i="8"/>
  <c r="E2751" i="8"/>
  <c r="D2751" i="8"/>
  <c r="C2751" i="8"/>
  <c r="B2751" i="8"/>
  <c r="A2751" i="8"/>
  <c r="F2750" i="8"/>
  <c r="E2750" i="8"/>
  <c r="D2750" i="8"/>
  <c r="C2750" i="8"/>
  <c r="B2750" i="8"/>
  <c r="A2750" i="8"/>
  <c r="F2749" i="8"/>
  <c r="E2749" i="8"/>
  <c r="D2749" i="8"/>
  <c r="C2749" i="8"/>
  <c r="B2749" i="8"/>
  <c r="A2749" i="8"/>
  <c r="F2748" i="8"/>
  <c r="E2748" i="8"/>
  <c r="D2748" i="8"/>
  <c r="C2748" i="8"/>
  <c r="B2748" i="8"/>
  <c r="A2748" i="8"/>
  <c r="F2747" i="8"/>
  <c r="E2747" i="8"/>
  <c r="D2747" i="8"/>
  <c r="C2747" i="8"/>
  <c r="B2747" i="8"/>
  <c r="A2747" i="8"/>
  <c r="F2746" i="8"/>
  <c r="E2746" i="8"/>
  <c r="D2746" i="8"/>
  <c r="C2746" i="8"/>
  <c r="B2746" i="8"/>
  <c r="A2746" i="8"/>
  <c r="F2745" i="8"/>
  <c r="E2745" i="8"/>
  <c r="D2745" i="8"/>
  <c r="C2745" i="8"/>
  <c r="B2745" i="8"/>
  <c r="A2745" i="8"/>
  <c r="F2744" i="8"/>
  <c r="E2744" i="8"/>
  <c r="D2744" i="8"/>
  <c r="C2744" i="8"/>
  <c r="B2744" i="8"/>
  <c r="A2744" i="8"/>
  <c r="F2743" i="8"/>
  <c r="E2743" i="8"/>
  <c r="D2743" i="8"/>
  <c r="C2743" i="8"/>
  <c r="B2743" i="8"/>
  <c r="A2743" i="8"/>
  <c r="F2742" i="8"/>
  <c r="E2742" i="8"/>
  <c r="D2742" i="8"/>
  <c r="C2742" i="8"/>
  <c r="B2742" i="8"/>
  <c r="A2742" i="8"/>
  <c r="F2741" i="8"/>
  <c r="E2741" i="8"/>
  <c r="D2741" i="8"/>
  <c r="C2741" i="8"/>
  <c r="B2741" i="8"/>
  <c r="A2741" i="8"/>
  <c r="F2740" i="8"/>
  <c r="E2740" i="8"/>
  <c r="D2740" i="8"/>
  <c r="C2740" i="8"/>
  <c r="B2740" i="8"/>
  <c r="A2740" i="8"/>
  <c r="F2739" i="8"/>
  <c r="E2739" i="8"/>
  <c r="D2739" i="8"/>
  <c r="C2739" i="8"/>
  <c r="B2739" i="8"/>
  <c r="A2739" i="8"/>
  <c r="F2738" i="8"/>
  <c r="E2738" i="8"/>
  <c r="D2738" i="8"/>
  <c r="C2738" i="8"/>
  <c r="B2738" i="8"/>
  <c r="A2738" i="8"/>
  <c r="F2737" i="8"/>
  <c r="E2737" i="8"/>
  <c r="D2737" i="8"/>
  <c r="C2737" i="8"/>
  <c r="B2737" i="8"/>
  <c r="A2737" i="8"/>
  <c r="F2736" i="8"/>
  <c r="E2736" i="8"/>
  <c r="D2736" i="8"/>
  <c r="C2736" i="8"/>
  <c r="B2736" i="8"/>
  <c r="A2736" i="8"/>
  <c r="F2735" i="8"/>
  <c r="E2735" i="8"/>
  <c r="D2735" i="8"/>
  <c r="C2735" i="8"/>
  <c r="B2735" i="8"/>
  <c r="A2735" i="8"/>
  <c r="F2734" i="8"/>
  <c r="E2734" i="8"/>
  <c r="D2734" i="8"/>
  <c r="C2734" i="8"/>
  <c r="B2734" i="8"/>
  <c r="A2734" i="8"/>
  <c r="F2733" i="8"/>
  <c r="E2733" i="8"/>
  <c r="D2733" i="8"/>
  <c r="C2733" i="8"/>
  <c r="B2733" i="8"/>
  <c r="A2733" i="8"/>
  <c r="F2732" i="8"/>
  <c r="E2732" i="8"/>
  <c r="D2732" i="8"/>
  <c r="C2732" i="8"/>
  <c r="B2732" i="8"/>
  <c r="A2732" i="8"/>
  <c r="F2731" i="8"/>
  <c r="E2731" i="8"/>
  <c r="D2731" i="8"/>
  <c r="C2731" i="8"/>
  <c r="B2731" i="8"/>
  <c r="A2731" i="8"/>
  <c r="F2730" i="8"/>
  <c r="E2730" i="8"/>
  <c r="D2730" i="8"/>
  <c r="C2730" i="8"/>
  <c r="B2730" i="8"/>
  <c r="A2730" i="8"/>
  <c r="F2729" i="8"/>
  <c r="E2729" i="8"/>
  <c r="D2729" i="8"/>
  <c r="C2729" i="8"/>
  <c r="B2729" i="8"/>
  <c r="A2729" i="8"/>
  <c r="F2728" i="8"/>
  <c r="E2728" i="8"/>
  <c r="D2728" i="8"/>
  <c r="C2728" i="8"/>
  <c r="B2728" i="8"/>
  <c r="A2728" i="8"/>
  <c r="F2727" i="8"/>
  <c r="E2727" i="8"/>
  <c r="B2727" i="8"/>
  <c r="A2727" i="8"/>
  <c r="F2726" i="8"/>
  <c r="E2726" i="8"/>
  <c r="D2726" i="8"/>
  <c r="C2726" i="8"/>
  <c r="B2726" i="8"/>
  <c r="A2726" i="8"/>
  <c r="F2725" i="8"/>
  <c r="E2725" i="8"/>
  <c r="D2725" i="8"/>
  <c r="C2725" i="8"/>
  <c r="B2725" i="8"/>
  <c r="A2725" i="8"/>
  <c r="F2724" i="8"/>
  <c r="E2724" i="8"/>
  <c r="C2724" i="8"/>
  <c r="B2724" i="8"/>
  <c r="A2724" i="8"/>
  <c r="F2723" i="8"/>
  <c r="E2723" i="8"/>
  <c r="C2723" i="8"/>
  <c r="B2723" i="8"/>
  <c r="A2723" i="8"/>
  <c r="F2722" i="8"/>
  <c r="E2722" i="8"/>
  <c r="D2722" i="8"/>
  <c r="C2722" i="8"/>
  <c r="B2722" i="8"/>
  <c r="A2722" i="8"/>
  <c r="F2721" i="8"/>
  <c r="E2721" i="8"/>
  <c r="D2721" i="8"/>
  <c r="C2721" i="8"/>
  <c r="B2721" i="8"/>
  <c r="A2721" i="8"/>
  <c r="F2720" i="8"/>
  <c r="E2720" i="8"/>
  <c r="D2720" i="8"/>
  <c r="C2720" i="8"/>
  <c r="B2720" i="8"/>
  <c r="A2720" i="8"/>
  <c r="F2719" i="8"/>
  <c r="E2719" i="8"/>
  <c r="D2719" i="8"/>
  <c r="C2719" i="8"/>
  <c r="B2719" i="8"/>
  <c r="A2719" i="8"/>
  <c r="F2718" i="8"/>
  <c r="E2718" i="8"/>
  <c r="D2718" i="8"/>
  <c r="C2718" i="8"/>
  <c r="B2718" i="8"/>
  <c r="A2718" i="8"/>
  <c r="F2717" i="8"/>
  <c r="E2717" i="8"/>
  <c r="D2717" i="8"/>
  <c r="C2717" i="8"/>
  <c r="B2717" i="8"/>
  <c r="A2717" i="8"/>
  <c r="F2716" i="8"/>
  <c r="E2716" i="8"/>
  <c r="D2716" i="8"/>
  <c r="C2716" i="8"/>
  <c r="B2716" i="8"/>
  <c r="A2716" i="8"/>
  <c r="F2715" i="8"/>
  <c r="E2715" i="8"/>
  <c r="D2715" i="8"/>
  <c r="C2715" i="8"/>
  <c r="B2715" i="8"/>
  <c r="A2715" i="8"/>
  <c r="F2714" i="8"/>
  <c r="E2714" i="8"/>
  <c r="D2714" i="8"/>
  <c r="C2714" i="8"/>
  <c r="B2714" i="8"/>
  <c r="A2714" i="8"/>
  <c r="F2713" i="8"/>
  <c r="E2713" i="8"/>
  <c r="D2713" i="8"/>
  <c r="C2713" i="8"/>
  <c r="B2713" i="8"/>
  <c r="A2713" i="8"/>
  <c r="F2712" i="8"/>
  <c r="E2712" i="8"/>
  <c r="D2712" i="8"/>
  <c r="C2712" i="8"/>
  <c r="B2712" i="8"/>
  <c r="A2712" i="8"/>
  <c r="F2711" i="8"/>
  <c r="E2711" i="8"/>
  <c r="D2711" i="8"/>
  <c r="C2711" i="8"/>
  <c r="B2711" i="8"/>
  <c r="A2711" i="8"/>
  <c r="F2710" i="8"/>
  <c r="E2710" i="8"/>
  <c r="D2710" i="8"/>
  <c r="C2710" i="8"/>
  <c r="B2710" i="8"/>
  <c r="A2710" i="8"/>
  <c r="F2709" i="8"/>
  <c r="E2709" i="8"/>
  <c r="D2709" i="8"/>
  <c r="C2709" i="8"/>
  <c r="B2709" i="8"/>
  <c r="A2709" i="8"/>
  <c r="F2708" i="8"/>
  <c r="E2708" i="8"/>
  <c r="D2708" i="8"/>
  <c r="C2708" i="8"/>
  <c r="B2708" i="8"/>
  <c r="A2708" i="8"/>
  <c r="F2707" i="8"/>
  <c r="E2707" i="8"/>
  <c r="D2707" i="8"/>
  <c r="C2707" i="8"/>
  <c r="B2707" i="8"/>
  <c r="A2707" i="8"/>
  <c r="E2706" i="8"/>
  <c r="E2705" i="8"/>
  <c r="E2704" i="8"/>
  <c r="E2703" i="8"/>
  <c r="E2702" i="8"/>
  <c r="E2701" i="8"/>
  <c r="E2700" i="8"/>
  <c r="E2699" i="8"/>
  <c r="E2698" i="8"/>
  <c r="E2697" i="8"/>
  <c r="E2696" i="8"/>
  <c r="E2695" i="8"/>
  <c r="E2694" i="8"/>
  <c r="E2693" i="8"/>
  <c r="E2692" i="8"/>
  <c r="E2691" i="8"/>
  <c r="E2690" i="8"/>
  <c r="E2689" i="8"/>
  <c r="E2688" i="8"/>
  <c r="E2687" i="8"/>
  <c r="E2686" i="8"/>
  <c r="E2685" i="8"/>
  <c r="E2684" i="8"/>
  <c r="E2683" i="8"/>
  <c r="E2682" i="8"/>
  <c r="E2681" i="8"/>
  <c r="E2680" i="8"/>
  <c r="E2679" i="8"/>
  <c r="E2678" i="8"/>
  <c r="E2677" i="8"/>
  <c r="E2676" i="8"/>
  <c r="E2675" i="8"/>
  <c r="F2674" i="8"/>
  <c r="E2674" i="8"/>
  <c r="D2674" i="8"/>
  <c r="C2674" i="8"/>
  <c r="B2674" i="8"/>
  <c r="A2674" i="8"/>
  <c r="F2673" i="8"/>
  <c r="E2673" i="8"/>
  <c r="D2673" i="8"/>
  <c r="C2673" i="8"/>
  <c r="B2673" i="8"/>
  <c r="A2673" i="8"/>
  <c r="E2672" i="8"/>
  <c r="E2671" i="8"/>
  <c r="E2670" i="8"/>
  <c r="E2669" i="8"/>
  <c r="E2668" i="8"/>
  <c r="E2667" i="8"/>
  <c r="E2666" i="8"/>
  <c r="E2665" i="8"/>
  <c r="E2664" i="8"/>
  <c r="E2663" i="8"/>
  <c r="E2662" i="8"/>
  <c r="E2661" i="8"/>
  <c r="E2660" i="8"/>
  <c r="E2659" i="8"/>
  <c r="E2658" i="8"/>
  <c r="E2657" i="8"/>
  <c r="E2656" i="8"/>
  <c r="E2655" i="8"/>
  <c r="E2654" i="8"/>
  <c r="E2653" i="8"/>
  <c r="E2652" i="8"/>
  <c r="E2651" i="8"/>
  <c r="E2650" i="8"/>
  <c r="E2649" i="8"/>
  <c r="E2648" i="8"/>
  <c r="E2647" i="8"/>
  <c r="E2646" i="8"/>
  <c r="E2645" i="8"/>
  <c r="E2644" i="8"/>
  <c r="E2643" i="8"/>
  <c r="E2642" i="8"/>
  <c r="E2641" i="8"/>
  <c r="E2640" i="8"/>
  <c r="E2639" i="8"/>
  <c r="E2638" i="8"/>
  <c r="E2637" i="8"/>
  <c r="E2636" i="8"/>
  <c r="E2635" i="8"/>
  <c r="E2634" i="8"/>
  <c r="E2633" i="8"/>
  <c r="E2632" i="8"/>
  <c r="E2631" i="8"/>
  <c r="E2630" i="8"/>
  <c r="E2629" i="8"/>
  <c r="E2628" i="8"/>
  <c r="E2627" i="8"/>
  <c r="E2626" i="8"/>
  <c r="E2625" i="8"/>
  <c r="E2624" i="8"/>
  <c r="E2623" i="8"/>
  <c r="E2622" i="8"/>
  <c r="E2621" i="8"/>
  <c r="E2620" i="8"/>
  <c r="E2619" i="8"/>
  <c r="E2618" i="8"/>
  <c r="E2617" i="8"/>
  <c r="E2616" i="8"/>
  <c r="F2615" i="8"/>
  <c r="E2615" i="8"/>
  <c r="C2615" i="8"/>
  <c r="B2615" i="8"/>
  <c r="A2615" i="8"/>
  <c r="E2614" i="8"/>
  <c r="E2613" i="8"/>
  <c r="E2612" i="8"/>
  <c r="E2611" i="8"/>
  <c r="E2610" i="8"/>
  <c r="E2609" i="8"/>
  <c r="E2608" i="8"/>
  <c r="E2607" i="8"/>
  <c r="E2606" i="8"/>
  <c r="E2605" i="8"/>
  <c r="E2604" i="8"/>
  <c r="F2603" i="8"/>
  <c r="E2603" i="8"/>
  <c r="D2603" i="8"/>
  <c r="C2603" i="8"/>
  <c r="B2603" i="8"/>
  <c r="A2603" i="8"/>
  <c r="F2602" i="8"/>
  <c r="E2602" i="8"/>
  <c r="D2602" i="8"/>
  <c r="C2602" i="8"/>
  <c r="B2602" i="8"/>
  <c r="A2602" i="8"/>
  <c r="F2601" i="8"/>
  <c r="E2601" i="8"/>
  <c r="D2601" i="8"/>
  <c r="C2601" i="8"/>
  <c r="B2601" i="8"/>
  <c r="A2601" i="8"/>
  <c r="F2600" i="8"/>
  <c r="E2600" i="8"/>
  <c r="D2600" i="8"/>
  <c r="C2600" i="8"/>
  <c r="B2600" i="8"/>
  <c r="A2600" i="8"/>
  <c r="F2599" i="8"/>
  <c r="E2599" i="8"/>
  <c r="D2599" i="8"/>
  <c r="C2599" i="8"/>
  <c r="B2599" i="8"/>
  <c r="A2599" i="8"/>
  <c r="F2598" i="8"/>
  <c r="E2598" i="8"/>
  <c r="D2598" i="8"/>
  <c r="C2598" i="8"/>
  <c r="B2598" i="8"/>
  <c r="A2598" i="8"/>
  <c r="F2597" i="8"/>
  <c r="E2597" i="8"/>
  <c r="C2597" i="8"/>
  <c r="B2597" i="8"/>
  <c r="A2597" i="8"/>
  <c r="F2596" i="8"/>
  <c r="E2596" i="8"/>
  <c r="D2596" i="8"/>
  <c r="C2596" i="8"/>
  <c r="B2596" i="8"/>
  <c r="A2596" i="8"/>
  <c r="F2595" i="8"/>
  <c r="E2595" i="8"/>
  <c r="D2595" i="8"/>
  <c r="C2595" i="8"/>
  <c r="B2595" i="8"/>
  <c r="A2595" i="8"/>
  <c r="F2594" i="8"/>
  <c r="E2594" i="8"/>
  <c r="D2594" i="8"/>
  <c r="C2594" i="8"/>
  <c r="B2594" i="8"/>
  <c r="A2594" i="8"/>
  <c r="F2593" i="8"/>
  <c r="E2593" i="8"/>
  <c r="D2593" i="8"/>
  <c r="C2593" i="8"/>
  <c r="B2593" i="8"/>
  <c r="A2593" i="8"/>
  <c r="F2592" i="8"/>
  <c r="E2592" i="8"/>
  <c r="D2592" i="8"/>
  <c r="C2592" i="8"/>
  <c r="B2592" i="8"/>
  <c r="A2592" i="8"/>
  <c r="F2591" i="8"/>
  <c r="E2591" i="8"/>
  <c r="D2591" i="8"/>
  <c r="C2591" i="8"/>
  <c r="B2591" i="8"/>
  <c r="A2591" i="8"/>
  <c r="F2590" i="8"/>
  <c r="E2590" i="8"/>
  <c r="D2590" i="8"/>
  <c r="C2590" i="8"/>
  <c r="B2590" i="8"/>
  <c r="A2590" i="8"/>
  <c r="E2589" i="8"/>
  <c r="E2588" i="8"/>
  <c r="E2587" i="8"/>
  <c r="E2586" i="8"/>
  <c r="E2585" i="8"/>
  <c r="E2584" i="8"/>
  <c r="E2583" i="8"/>
  <c r="E2582" i="8"/>
  <c r="E2581" i="8"/>
  <c r="E2580" i="8"/>
  <c r="E2579" i="8"/>
  <c r="E2578" i="8"/>
  <c r="E2577" i="8"/>
  <c r="E2576" i="8"/>
  <c r="E2575" i="8"/>
  <c r="E2574" i="8"/>
  <c r="E2573" i="8"/>
  <c r="E2572" i="8"/>
  <c r="E2571" i="8"/>
  <c r="E2570" i="8"/>
  <c r="E2569" i="8"/>
  <c r="E2568" i="8"/>
  <c r="E2567" i="8"/>
  <c r="E2566" i="8"/>
  <c r="E2565" i="8"/>
  <c r="E2564" i="8"/>
  <c r="E2563" i="8"/>
  <c r="E2562" i="8"/>
  <c r="E2561" i="8"/>
  <c r="E2560" i="8"/>
  <c r="E2559" i="8"/>
  <c r="E2558" i="8"/>
  <c r="E2557" i="8"/>
  <c r="E2556" i="8"/>
  <c r="E2555" i="8"/>
  <c r="E2554" i="8"/>
  <c r="E2553" i="8"/>
  <c r="E2552" i="8"/>
  <c r="E2551" i="8"/>
  <c r="E2550" i="8"/>
  <c r="E2549" i="8"/>
  <c r="E2548" i="8"/>
  <c r="E2547" i="8"/>
  <c r="E2546" i="8"/>
  <c r="E2545" i="8"/>
  <c r="E2544" i="8"/>
  <c r="E2543" i="8"/>
  <c r="E2542" i="8"/>
  <c r="E2541" i="8"/>
  <c r="E2540" i="8"/>
  <c r="E2539" i="8"/>
  <c r="E2538" i="8"/>
  <c r="E2537" i="8"/>
  <c r="E2536" i="8"/>
  <c r="E2535" i="8"/>
  <c r="E2534" i="8"/>
  <c r="E2533" i="8"/>
  <c r="E2532" i="8"/>
  <c r="E2531" i="8"/>
  <c r="E2530" i="8"/>
  <c r="E2529" i="8"/>
  <c r="E2528" i="8"/>
  <c r="E2527" i="8"/>
  <c r="E2526" i="8"/>
  <c r="E2525" i="8"/>
  <c r="E2524" i="8"/>
  <c r="E2523" i="8"/>
  <c r="E2522" i="8"/>
  <c r="E2521" i="8"/>
  <c r="E2520" i="8"/>
  <c r="E2519" i="8"/>
  <c r="E2518" i="8"/>
  <c r="E2517" i="8"/>
  <c r="E2516" i="8"/>
  <c r="E2515" i="8"/>
  <c r="E2514" i="8"/>
  <c r="E2513" i="8"/>
  <c r="E2512" i="8"/>
  <c r="E2511" i="8"/>
  <c r="E2510" i="8"/>
  <c r="E2509" i="8"/>
  <c r="E2508" i="8"/>
  <c r="E2507" i="8"/>
  <c r="E2506" i="8"/>
  <c r="E2505" i="8"/>
  <c r="E2504" i="8"/>
  <c r="E2503" i="8"/>
  <c r="E2502" i="8"/>
  <c r="E2501" i="8"/>
  <c r="E2500" i="8"/>
  <c r="E2499" i="8"/>
  <c r="E2498" i="8"/>
  <c r="E2497" i="8"/>
  <c r="E2496" i="8"/>
  <c r="E2495" i="8"/>
  <c r="E2494" i="8"/>
  <c r="E2493" i="8"/>
  <c r="E2492" i="8"/>
  <c r="F2491" i="8"/>
  <c r="E2491" i="8"/>
  <c r="D2491" i="8"/>
  <c r="C2491" i="8"/>
  <c r="A2491" i="8"/>
  <c r="F2490" i="8"/>
  <c r="E2490" i="8"/>
  <c r="D2490" i="8"/>
  <c r="C2490" i="8"/>
  <c r="B2490" i="8"/>
  <c r="A2490" i="8"/>
  <c r="F2489" i="8"/>
  <c r="E2489" i="8"/>
  <c r="D2489" i="8"/>
  <c r="C2489" i="8"/>
  <c r="B2489" i="8"/>
  <c r="A2489" i="8"/>
  <c r="F2488" i="8"/>
  <c r="E2488" i="8"/>
  <c r="D2488" i="8"/>
  <c r="C2488" i="8"/>
  <c r="B2488" i="8"/>
  <c r="A2488" i="8"/>
  <c r="F2487" i="8"/>
  <c r="E2487" i="8"/>
  <c r="D2487" i="8"/>
  <c r="C2487" i="8"/>
  <c r="B2487" i="8"/>
  <c r="A2487" i="8"/>
  <c r="F2486" i="8"/>
  <c r="E2486" i="8"/>
  <c r="D2486" i="8"/>
  <c r="C2486" i="8"/>
  <c r="B2486" i="8"/>
  <c r="A2486" i="8"/>
  <c r="E2485" i="8"/>
  <c r="F2484" i="8"/>
  <c r="E2484" i="8"/>
  <c r="D2484" i="8"/>
  <c r="C2484" i="8"/>
  <c r="B2484" i="8"/>
  <c r="A2484" i="8"/>
  <c r="E2483" i="8"/>
  <c r="D2483" i="8"/>
  <c r="F2482" i="8"/>
  <c r="E2482" i="8"/>
  <c r="D2482" i="8"/>
  <c r="C2482" i="8"/>
  <c r="B2482" i="8"/>
  <c r="A2482" i="8"/>
  <c r="F2481" i="8"/>
  <c r="E2481" i="8"/>
  <c r="D2481" i="8"/>
  <c r="C2481" i="8"/>
  <c r="B2481" i="8"/>
  <c r="A2481" i="8"/>
  <c r="F2480" i="8"/>
  <c r="E2480" i="8"/>
  <c r="D2480" i="8"/>
  <c r="C2480" i="8"/>
  <c r="B2480" i="8"/>
  <c r="A2480" i="8"/>
  <c r="F2479" i="8"/>
  <c r="E2479" i="8"/>
  <c r="D2479" i="8"/>
  <c r="C2479" i="8"/>
  <c r="B2479" i="8"/>
  <c r="A2479" i="8"/>
  <c r="F2478" i="8"/>
  <c r="E2478" i="8"/>
  <c r="D2478" i="8"/>
  <c r="C2478" i="8"/>
  <c r="B2478" i="8"/>
  <c r="A2478" i="8"/>
  <c r="F2477" i="8"/>
  <c r="E2477" i="8"/>
  <c r="D2477" i="8"/>
  <c r="C2477" i="8"/>
  <c r="B2477" i="8"/>
  <c r="A2477" i="8"/>
  <c r="F2476" i="8"/>
  <c r="E2476" i="8"/>
  <c r="D2476" i="8"/>
  <c r="C2476" i="8"/>
  <c r="B2476" i="8"/>
  <c r="A2476" i="8"/>
  <c r="F2475" i="8"/>
  <c r="E2475" i="8"/>
  <c r="D2475" i="8"/>
  <c r="C2475" i="8"/>
  <c r="B2475" i="8"/>
  <c r="A2475" i="8"/>
  <c r="F2474" i="8"/>
  <c r="E2474" i="8"/>
  <c r="D2474" i="8"/>
  <c r="C2474" i="8"/>
  <c r="B2474" i="8"/>
  <c r="A2474" i="8"/>
  <c r="E2473" i="8"/>
  <c r="E2472" i="8"/>
  <c r="E2471" i="8"/>
  <c r="E2470" i="8"/>
  <c r="E2469" i="8"/>
  <c r="E2468" i="8"/>
  <c r="E2467" i="8"/>
  <c r="E2466" i="8"/>
  <c r="E2465" i="8"/>
  <c r="E2464" i="8"/>
  <c r="E2463" i="8"/>
  <c r="E2462" i="8"/>
  <c r="E2461" i="8"/>
  <c r="E2460" i="8"/>
  <c r="E2459" i="8"/>
  <c r="E2458" i="8"/>
  <c r="E2457" i="8"/>
  <c r="E2456" i="8"/>
  <c r="E2455" i="8"/>
  <c r="E2454" i="8"/>
  <c r="E2453" i="8"/>
  <c r="E2452" i="8"/>
  <c r="E2451" i="8"/>
  <c r="E2450" i="8"/>
  <c r="E2449" i="8"/>
  <c r="E2448" i="8"/>
  <c r="E2447" i="8"/>
  <c r="E2446" i="8"/>
  <c r="E2445" i="8"/>
  <c r="E2444" i="8"/>
  <c r="E2443" i="8"/>
  <c r="E2442" i="8"/>
  <c r="E2441" i="8"/>
  <c r="E2440" i="8"/>
  <c r="E2439" i="8"/>
  <c r="E2438" i="8"/>
  <c r="E2437" i="8"/>
  <c r="E2436" i="8"/>
  <c r="E2435" i="8"/>
  <c r="E2434" i="8"/>
  <c r="E2433" i="8"/>
  <c r="E2432" i="8"/>
  <c r="E2431" i="8"/>
  <c r="E2430" i="8"/>
  <c r="E2429" i="8"/>
  <c r="E2428" i="8"/>
  <c r="E2427" i="8"/>
  <c r="E2426" i="8"/>
  <c r="E2425" i="8"/>
  <c r="E2424" i="8"/>
  <c r="G2423" i="8"/>
  <c r="E2423" i="8"/>
  <c r="G2422" i="8"/>
  <c r="E2422" i="8"/>
  <c r="G2421" i="8"/>
  <c r="E2421" i="8"/>
  <c r="G2420" i="8"/>
  <c r="E2420" i="8"/>
  <c r="G2419" i="8"/>
  <c r="E2419" i="8"/>
  <c r="G2418" i="8"/>
  <c r="E2418" i="8"/>
  <c r="G2417" i="8"/>
  <c r="E2417" i="8"/>
  <c r="G2416" i="8"/>
  <c r="E2416" i="8"/>
  <c r="G2415" i="8"/>
  <c r="E2415" i="8"/>
  <c r="G2414" i="8"/>
  <c r="E2414" i="8"/>
  <c r="G2413" i="8"/>
  <c r="E2413" i="8"/>
  <c r="G2412" i="8"/>
  <c r="E2412" i="8"/>
  <c r="G2411" i="8"/>
  <c r="E2411" i="8"/>
  <c r="G2410" i="8"/>
  <c r="E2410" i="8"/>
  <c r="G2409" i="8"/>
  <c r="E2409" i="8"/>
  <c r="G2408" i="8"/>
  <c r="E2408" i="8"/>
  <c r="G2407" i="8"/>
  <c r="E2407" i="8"/>
  <c r="G2406" i="8"/>
  <c r="E2406" i="8"/>
  <c r="G2405" i="8"/>
  <c r="E2405" i="8"/>
  <c r="G2404" i="8"/>
  <c r="E2404" i="8"/>
  <c r="G2403" i="8"/>
  <c r="E2403" i="8"/>
  <c r="G2402" i="8"/>
  <c r="E2402" i="8"/>
  <c r="G2401" i="8"/>
  <c r="E2401" i="8"/>
  <c r="G2400" i="8"/>
  <c r="E2400" i="8"/>
  <c r="G2399" i="8"/>
  <c r="E2399" i="8"/>
  <c r="G2398" i="8"/>
  <c r="E2398" i="8"/>
  <c r="G2397" i="8"/>
  <c r="E2397" i="8"/>
  <c r="G2396" i="8"/>
  <c r="E2396" i="8"/>
  <c r="G2395" i="8"/>
  <c r="E2395" i="8"/>
  <c r="G2394" i="8"/>
  <c r="E2394" i="8"/>
  <c r="G2393" i="8"/>
  <c r="E2393" i="8"/>
  <c r="G2392" i="8"/>
  <c r="E2392" i="8"/>
  <c r="G2391" i="8"/>
  <c r="E2391" i="8"/>
  <c r="G2390" i="8"/>
  <c r="E2390" i="8"/>
  <c r="G2389" i="8"/>
  <c r="E2389" i="8"/>
  <c r="G2388" i="8"/>
  <c r="E2388" i="8"/>
  <c r="G2387" i="8"/>
  <c r="E2387" i="8"/>
  <c r="G2386" i="8"/>
  <c r="E2386" i="8"/>
  <c r="G2385" i="8"/>
  <c r="E2385" i="8"/>
  <c r="G2384" i="8"/>
  <c r="E2384" i="8"/>
  <c r="G2383" i="8"/>
  <c r="E2383" i="8"/>
  <c r="G2382" i="8"/>
  <c r="E2382" i="8"/>
  <c r="G2381" i="8"/>
  <c r="E2381" i="8"/>
  <c r="G2380" i="8"/>
  <c r="E2380" i="8"/>
  <c r="G2379" i="8"/>
  <c r="E2379" i="8"/>
  <c r="G2378" i="8"/>
  <c r="E2378" i="8"/>
  <c r="G2377" i="8"/>
  <c r="E2377" i="8"/>
  <c r="G2376" i="8"/>
  <c r="E2376" i="8"/>
  <c r="G2375" i="8"/>
  <c r="E2375" i="8"/>
  <c r="G2374" i="8"/>
  <c r="E2374" i="8"/>
  <c r="G2373" i="8"/>
  <c r="E2373" i="8"/>
  <c r="G2372" i="8"/>
  <c r="E2372" i="8"/>
  <c r="G2371" i="8"/>
  <c r="E2371" i="8"/>
  <c r="G2370" i="8"/>
  <c r="E2370" i="8"/>
  <c r="G2369" i="8"/>
  <c r="E2369" i="8"/>
  <c r="G2368" i="8"/>
  <c r="E2368" i="8"/>
  <c r="G2367" i="8"/>
  <c r="E2367" i="8"/>
  <c r="G2366" i="8"/>
  <c r="E2366" i="8"/>
  <c r="G2365" i="8"/>
  <c r="E2365" i="8"/>
  <c r="G2364" i="8"/>
  <c r="E2364" i="8"/>
  <c r="G2363" i="8"/>
  <c r="E2363" i="8"/>
  <c r="G2362" i="8"/>
  <c r="E2362" i="8"/>
  <c r="G2361" i="8"/>
  <c r="E2361" i="8"/>
  <c r="G2360" i="8"/>
  <c r="E2360" i="8"/>
  <c r="G2359" i="8"/>
  <c r="E2359" i="8"/>
  <c r="G2358" i="8"/>
  <c r="E2358" i="8"/>
  <c r="G2357" i="8"/>
  <c r="E2357" i="8"/>
  <c r="G2356" i="8"/>
  <c r="E2356" i="8"/>
  <c r="G2355" i="8"/>
  <c r="E2355" i="8"/>
  <c r="G2354" i="8"/>
  <c r="E2354" i="8"/>
  <c r="G2353" i="8"/>
  <c r="E2353" i="8"/>
  <c r="G2352" i="8"/>
  <c r="E2352" i="8"/>
  <c r="G2351" i="8"/>
  <c r="E2351" i="8"/>
  <c r="G2350" i="8"/>
  <c r="E2350" i="8"/>
  <c r="G2349" i="8"/>
  <c r="E2349" i="8"/>
  <c r="G2348" i="8"/>
  <c r="E2348" i="8"/>
  <c r="G2347" i="8"/>
  <c r="E2347" i="8"/>
  <c r="G2346" i="8"/>
  <c r="E2346" i="8"/>
  <c r="G2345" i="8"/>
  <c r="E2345" i="8"/>
  <c r="G2344" i="8"/>
  <c r="E2344" i="8"/>
  <c r="G2343" i="8"/>
  <c r="E2343" i="8"/>
  <c r="G2342" i="8"/>
  <c r="E2342" i="8"/>
  <c r="G2341" i="8"/>
  <c r="E2341" i="8"/>
  <c r="G2340" i="8"/>
  <c r="E2340" i="8"/>
  <c r="G2339" i="8"/>
  <c r="E2339" i="8"/>
  <c r="G2338" i="8"/>
  <c r="E2338" i="8"/>
  <c r="G2337" i="8"/>
  <c r="E2337" i="8"/>
  <c r="G2336" i="8"/>
  <c r="E2336" i="8"/>
  <c r="G2335" i="8"/>
  <c r="E2335" i="8"/>
  <c r="G2334" i="8"/>
  <c r="E2334" i="8"/>
  <c r="G2333" i="8"/>
  <c r="E2333" i="8"/>
  <c r="G2332" i="8"/>
  <c r="E2332" i="8"/>
  <c r="G2331" i="8"/>
  <c r="E2331" i="8"/>
  <c r="G2330" i="8"/>
  <c r="E2330" i="8"/>
  <c r="G2329" i="8"/>
  <c r="E2329" i="8"/>
  <c r="G2328" i="8"/>
  <c r="E2328" i="8"/>
  <c r="G2327" i="8"/>
  <c r="E2327" i="8"/>
  <c r="G2326" i="8"/>
  <c r="E2326" i="8"/>
  <c r="G2325" i="8"/>
  <c r="E2325" i="8"/>
  <c r="G2324" i="8"/>
  <c r="E2324" i="8"/>
  <c r="G2323" i="8"/>
  <c r="E2323" i="8"/>
  <c r="G2322" i="8"/>
  <c r="E2322" i="8"/>
  <c r="G2321" i="8"/>
  <c r="E2321" i="8"/>
  <c r="G2320" i="8"/>
  <c r="E2320" i="8"/>
  <c r="G2319" i="8"/>
  <c r="E2319" i="8"/>
  <c r="G2318" i="8"/>
  <c r="E2318" i="8"/>
  <c r="G2317" i="8"/>
  <c r="E2317" i="8"/>
  <c r="G2316" i="8"/>
  <c r="E2316" i="8"/>
  <c r="G2315" i="8"/>
  <c r="E2315" i="8"/>
  <c r="G2314" i="8"/>
  <c r="E2314" i="8"/>
  <c r="F2313" i="8"/>
  <c r="E2313" i="8"/>
  <c r="D2313" i="8"/>
  <c r="C2313" i="8"/>
  <c r="B2313" i="8"/>
  <c r="A2313" i="8"/>
  <c r="F2312" i="8"/>
  <c r="E2312" i="8"/>
  <c r="D2312" i="8"/>
  <c r="C2312" i="8"/>
  <c r="B2312" i="8"/>
  <c r="A2312" i="8"/>
  <c r="F2311" i="8"/>
  <c r="E2311" i="8"/>
  <c r="D2311" i="8"/>
  <c r="C2311" i="8"/>
  <c r="B2311" i="8"/>
  <c r="A2311" i="8"/>
  <c r="F2310" i="8"/>
  <c r="E2310" i="8"/>
  <c r="D2310" i="8"/>
  <c r="C2310" i="8"/>
  <c r="B2310" i="8"/>
  <c r="A2310" i="8"/>
  <c r="F2309" i="8"/>
  <c r="E2309" i="8"/>
  <c r="D2309" i="8"/>
  <c r="C2309" i="8"/>
  <c r="B2309" i="8"/>
  <c r="A2309" i="8"/>
  <c r="F2308" i="8"/>
  <c r="E2308" i="8"/>
  <c r="D2308" i="8"/>
  <c r="C2308" i="8"/>
  <c r="B2308" i="8"/>
  <c r="A2308" i="8"/>
  <c r="F2307" i="8"/>
  <c r="E2307" i="8"/>
  <c r="D2307" i="8"/>
  <c r="C2307" i="8"/>
  <c r="B2307" i="8"/>
  <c r="A2307" i="8"/>
  <c r="F2306" i="8"/>
  <c r="E2306" i="8"/>
  <c r="D2306" i="8"/>
  <c r="C2306" i="8"/>
  <c r="B2306" i="8"/>
  <c r="A2306" i="8"/>
  <c r="F2305" i="8"/>
  <c r="E2305" i="8"/>
  <c r="D2305" i="8"/>
  <c r="C2305" i="8"/>
  <c r="B2305" i="8"/>
  <c r="A2305" i="8"/>
  <c r="F2304" i="8"/>
  <c r="E2304" i="8"/>
  <c r="D2304" i="8"/>
  <c r="C2304" i="8"/>
  <c r="B2304" i="8"/>
  <c r="A2304" i="8"/>
  <c r="F2303" i="8"/>
  <c r="E2303" i="8"/>
  <c r="D2303" i="8"/>
  <c r="C2303" i="8"/>
  <c r="B2303" i="8"/>
  <c r="A2303" i="8"/>
  <c r="F2302" i="8"/>
  <c r="E2302" i="8"/>
  <c r="D2302" i="8"/>
  <c r="C2302" i="8"/>
  <c r="B2302" i="8"/>
  <c r="A2302" i="8"/>
  <c r="F2301" i="8"/>
  <c r="E2301" i="8"/>
  <c r="D2301" i="8"/>
  <c r="C2301" i="8"/>
  <c r="B2301" i="8"/>
  <c r="A2301" i="8"/>
  <c r="F2300" i="8"/>
  <c r="E2300" i="8"/>
  <c r="D2300" i="8"/>
  <c r="C2300" i="8"/>
  <c r="B2300" i="8"/>
  <c r="A2300" i="8"/>
  <c r="F2299" i="8"/>
  <c r="E2299" i="8"/>
  <c r="D2299" i="8"/>
  <c r="C2299" i="8"/>
  <c r="B2299" i="8"/>
  <c r="A2299" i="8"/>
  <c r="F2298" i="8"/>
  <c r="E2298" i="8"/>
  <c r="D2298" i="8"/>
  <c r="C2298" i="8"/>
  <c r="B2298" i="8"/>
  <c r="A2298" i="8"/>
  <c r="G2297" i="8"/>
  <c r="E2297" i="8"/>
  <c r="G2296" i="8"/>
  <c r="E2296" i="8"/>
  <c r="G2295" i="8"/>
  <c r="E2295" i="8"/>
  <c r="G2294" i="8"/>
  <c r="E2294" i="8"/>
  <c r="G2293" i="8"/>
  <c r="E2293" i="8"/>
  <c r="G2292" i="8"/>
  <c r="E2292" i="8"/>
  <c r="G2291" i="8"/>
  <c r="E2291" i="8"/>
  <c r="G2290" i="8"/>
  <c r="E2290" i="8"/>
  <c r="G2289" i="8"/>
  <c r="E2289" i="8"/>
  <c r="G2288" i="8"/>
  <c r="E2288" i="8"/>
  <c r="G2287" i="8"/>
  <c r="E2287" i="8"/>
  <c r="G2286" i="8"/>
  <c r="E2286" i="8"/>
  <c r="G2285" i="8"/>
  <c r="E2285" i="8"/>
  <c r="G2284" i="8"/>
  <c r="E2284" i="8"/>
  <c r="G2283" i="8"/>
  <c r="E2283" i="8"/>
  <c r="G2282" i="8"/>
  <c r="E2282" i="8"/>
  <c r="G2281" i="8"/>
  <c r="E2281" i="8"/>
  <c r="G2280" i="8"/>
  <c r="E2280" i="8"/>
  <c r="G2279" i="8"/>
  <c r="E2279" i="8"/>
  <c r="G2278" i="8"/>
  <c r="E2278" i="8"/>
  <c r="G2277" i="8"/>
  <c r="E2277" i="8"/>
  <c r="G2276" i="8"/>
  <c r="E2276" i="8"/>
  <c r="G2275" i="8"/>
  <c r="E2275" i="8"/>
  <c r="G2274" i="8"/>
  <c r="E2274" i="8"/>
  <c r="G2273" i="8"/>
  <c r="E2273" i="8"/>
  <c r="G2272" i="8"/>
  <c r="E2272" i="8"/>
  <c r="G2271" i="8"/>
  <c r="E2271" i="8"/>
  <c r="G2270" i="8"/>
  <c r="E2270" i="8"/>
  <c r="G2269" i="8"/>
  <c r="E2269" i="8"/>
  <c r="G2268" i="8"/>
  <c r="E2268" i="8"/>
  <c r="G2267" i="8"/>
  <c r="E2267" i="8"/>
  <c r="F2266" i="8"/>
  <c r="E2266" i="8"/>
  <c r="D2266" i="8"/>
  <c r="C2266" i="8"/>
  <c r="B2266" i="8"/>
  <c r="A2266" i="8"/>
  <c r="F2265" i="8"/>
  <c r="E2265" i="8"/>
  <c r="D2265" i="8"/>
  <c r="C2265" i="8"/>
  <c r="B2265" i="8"/>
  <c r="A2265" i="8"/>
  <c r="F2264" i="8"/>
  <c r="E2264" i="8"/>
  <c r="D2264" i="8"/>
  <c r="C2264" i="8"/>
  <c r="B2264" i="8"/>
  <c r="A2264" i="8"/>
  <c r="F2263" i="8"/>
  <c r="E2263" i="8"/>
  <c r="D2263" i="8"/>
  <c r="C2263" i="8"/>
  <c r="B2263" i="8"/>
  <c r="A2263" i="8"/>
  <c r="F2262" i="8"/>
  <c r="E2262" i="8"/>
  <c r="D2262" i="8"/>
  <c r="C2262" i="8"/>
  <c r="B2262" i="8"/>
  <c r="A2262" i="8"/>
  <c r="F2261" i="8"/>
  <c r="E2261" i="8"/>
  <c r="D2261" i="8"/>
  <c r="C2261" i="8"/>
  <c r="B2261" i="8"/>
  <c r="A2261" i="8"/>
  <c r="F2260" i="8"/>
  <c r="E2260" i="8"/>
  <c r="D2260" i="8"/>
  <c r="C2260" i="8"/>
  <c r="B2260" i="8"/>
  <c r="A2260" i="8"/>
  <c r="F2259" i="8"/>
  <c r="E2259" i="8"/>
  <c r="D2259" i="8"/>
  <c r="C2259" i="8"/>
  <c r="B2259" i="8"/>
  <c r="A2259" i="8"/>
  <c r="F2258" i="8"/>
  <c r="E2258" i="8"/>
  <c r="D2258" i="8"/>
  <c r="C2258" i="8"/>
  <c r="B2258" i="8"/>
  <c r="A2258" i="8"/>
  <c r="F2257" i="8"/>
  <c r="E2257" i="8"/>
  <c r="D2257" i="8"/>
  <c r="C2257" i="8"/>
  <c r="B2257" i="8"/>
  <c r="A2257" i="8"/>
  <c r="F2256" i="8"/>
  <c r="E2256" i="8"/>
  <c r="D2256" i="8"/>
  <c r="C2256" i="8"/>
  <c r="B2256" i="8"/>
  <c r="A2256" i="8"/>
  <c r="F2255" i="8"/>
  <c r="E2255" i="8"/>
  <c r="D2255" i="8"/>
  <c r="C2255" i="8"/>
  <c r="B2255" i="8"/>
  <c r="A2255" i="8"/>
  <c r="F2254" i="8"/>
  <c r="E2254" i="8"/>
  <c r="D2254" i="8"/>
  <c r="C2254" i="8"/>
  <c r="B2254" i="8"/>
  <c r="A2254" i="8"/>
  <c r="F2253" i="8"/>
  <c r="E2253" i="8"/>
  <c r="D2253" i="8"/>
  <c r="C2253" i="8"/>
  <c r="B2253" i="8"/>
  <c r="A2253" i="8"/>
  <c r="G2253" i="8" s="1"/>
  <c r="F2252" i="8"/>
  <c r="E2252" i="8"/>
  <c r="D2252" i="8"/>
  <c r="C2252" i="8"/>
  <c r="B2252" i="8"/>
  <c r="A2252" i="8"/>
  <c r="F2251" i="8"/>
  <c r="E2251" i="8"/>
  <c r="D2251" i="8"/>
  <c r="C2251" i="8"/>
  <c r="B2251" i="8"/>
  <c r="A2251" i="8"/>
  <c r="G2251" i="8" s="1"/>
  <c r="F2250" i="8"/>
  <c r="E2250" i="8"/>
  <c r="D2250" i="8"/>
  <c r="C2250" i="8"/>
  <c r="B2250" i="8"/>
  <c r="A2250" i="8"/>
  <c r="F2249" i="8"/>
  <c r="E2249" i="8"/>
  <c r="D2249" i="8"/>
  <c r="C2249" i="8"/>
  <c r="B2249" i="8"/>
  <c r="A2249" i="8"/>
  <c r="F2248" i="8"/>
  <c r="A2248" i="8"/>
  <c r="F2247" i="8"/>
  <c r="A2247" i="8"/>
  <c r="F2246" i="8"/>
  <c r="E2246" i="8"/>
  <c r="D2246" i="8"/>
  <c r="C2246" i="8"/>
  <c r="B2246" i="8"/>
  <c r="A2246" i="8"/>
  <c r="F2245" i="8"/>
  <c r="E2245" i="8"/>
  <c r="D2245" i="8"/>
  <c r="C2245" i="8"/>
  <c r="B2245" i="8"/>
  <c r="A2245" i="8"/>
  <c r="F2244" i="8"/>
  <c r="E2244" i="8"/>
  <c r="D2244" i="8"/>
  <c r="C2244" i="8"/>
  <c r="B2244" i="8"/>
  <c r="A2244" i="8"/>
  <c r="F2243" i="8"/>
  <c r="E2243" i="8"/>
  <c r="D2243" i="8"/>
  <c r="C2243" i="8"/>
  <c r="B2243" i="8"/>
  <c r="A2243" i="8"/>
  <c r="F2242" i="8"/>
  <c r="E2242" i="8"/>
  <c r="D2242" i="8"/>
  <c r="C2242" i="8"/>
  <c r="B2242" i="8"/>
  <c r="A2242" i="8"/>
  <c r="F2241" i="8"/>
  <c r="E2241" i="8"/>
  <c r="D2241" i="8"/>
  <c r="C2241" i="8"/>
  <c r="B2241" i="8"/>
  <c r="A2241" i="8"/>
  <c r="G2241" i="8" s="1"/>
  <c r="F2240" i="8"/>
  <c r="E2240" i="8"/>
  <c r="D2240" i="8"/>
  <c r="C2240" i="8"/>
  <c r="B2240" i="8"/>
  <c r="A2240" i="8"/>
  <c r="F2239" i="8"/>
  <c r="E2239" i="8"/>
  <c r="D2239" i="8"/>
  <c r="C2239" i="8"/>
  <c r="B2239" i="8"/>
  <c r="A2239" i="8"/>
  <c r="G2239" i="8" s="1"/>
  <c r="F2238" i="8"/>
  <c r="E2238" i="8"/>
  <c r="D2238" i="8"/>
  <c r="C2238" i="8"/>
  <c r="B2238" i="8"/>
  <c r="A2238" i="8"/>
  <c r="F2237" i="8"/>
  <c r="E2237" i="8"/>
  <c r="D2237" i="8"/>
  <c r="C2237" i="8"/>
  <c r="B2237" i="8"/>
  <c r="A2237" i="8"/>
  <c r="F2236" i="8"/>
  <c r="E2236" i="8"/>
  <c r="D2236" i="8"/>
  <c r="C2236" i="8"/>
  <c r="B2236" i="8"/>
  <c r="A2236" i="8"/>
  <c r="F2235" i="8"/>
  <c r="E2235" i="8"/>
  <c r="D2235" i="8"/>
  <c r="C2235" i="8"/>
  <c r="B2235" i="8"/>
  <c r="A2235" i="8"/>
  <c r="F2234" i="8"/>
  <c r="E2234" i="8"/>
  <c r="D2234" i="8"/>
  <c r="C2234" i="8"/>
  <c r="B2234" i="8"/>
  <c r="A2234" i="8"/>
  <c r="F2233" i="8"/>
  <c r="E2233" i="8"/>
  <c r="D2233" i="8"/>
  <c r="C2233" i="8"/>
  <c r="B2233" i="8"/>
  <c r="A2233" i="8"/>
  <c r="F2232" i="8"/>
  <c r="E2232" i="8"/>
  <c r="D2232" i="8"/>
  <c r="C2232" i="8"/>
  <c r="B2232" i="8"/>
  <c r="A2232" i="8"/>
  <c r="F2231" i="8"/>
  <c r="E2231" i="8"/>
  <c r="D2231" i="8"/>
  <c r="C2231" i="8"/>
  <c r="B2231" i="8"/>
  <c r="A2231" i="8"/>
  <c r="F2230" i="8"/>
  <c r="E2230" i="8"/>
  <c r="D2230" i="8"/>
  <c r="C2230" i="8"/>
  <c r="B2230" i="8"/>
  <c r="A2230" i="8"/>
  <c r="F2229" i="8"/>
  <c r="E2229" i="8"/>
  <c r="D2229" i="8"/>
  <c r="C2229" i="8"/>
  <c r="B2229" i="8"/>
  <c r="A2229" i="8"/>
  <c r="F2228" i="8"/>
  <c r="E2228" i="8"/>
  <c r="D2228" i="8"/>
  <c r="C2228" i="8"/>
  <c r="B2228" i="8"/>
  <c r="A2228" i="8"/>
  <c r="F2227" i="8"/>
  <c r="E2227" i="8"/>
  <c r="C2227" i="8"/>
  <c r="B2227" i="8"/>
  <c r="A2227" i="8"/>
  <c r="F2226" i="8"/>
  <c r="E2226" i="8"/>
  <c r="D2226" i="8"/>
  <c r="C2226" i="8"/>
  <c r="B2226" i="8"/>
  <c r="A2226" i="8"/>
  <c r="F2225" i="8"/>
  <c r="E2225" i="8"/>
  <c r="D2225" i="8"/>
  <c r="C2225" i="8"/>
  <c r="B2225" i="8"/>
  <c r="A2225" i="8"/>
  <c r="F2224" i="8"/>
  <c r="E2224" i="8"/>
  <c r="D2224" i="8"/>
  <c r="C2224" i="8"/>
  <c r="B2224" i="8"/>
  <c r="A2224" i="8"/>
  <c r="F2223" i="8"/>
  <c r="E2223" i="8"/>
  <c r="D2223" i="8"/>
  <c r="C2223" i="8"/>
  <c r="B2223" i="8"/>
  <c r="A2223" i="8"/>
  <c r="F2222" i="8"/>
  <c r="E2222" i="8"/>
  <c r="D2222" i="8"/>
  <c r="C2222" i="8"/>
  <c r="B2222" i="8"/>
  <c r="A2222" i="8"/>
  <c r="F2221" i="8"/>
  <c r="E2221" i="8"/>
  <c r="D2221" i="8"/>
  <c r="C2221" i="8"/>
  <c r="B2221" i="8"/>
  <c r="A2221" i="8"/>
  <c r="F2220" i="8"/>
  <c r="E2220" i="8"/>
  <c r="D2220" i="8"/>
  <c r="C2220" i="8"/>
  <c r="B2220" i="8"/>
  <c r="A2220" i="8"/>
  <c r="F2219" i="8"/>
  <c r="E2219" i="8"/>
  <c r="D2219" i="8"/>
  <c r="C2219" i="8"/>
  <c r="B2219" i="8"/>
  <c r="A2219" i="8"/>
  <c r="F2218" i="8"/>
  <c r="E2218" i="8"/>
  <c r="B2218" i="8"/>
  <c r="A2218" i="8"/>
  <c r="F2217" i="8"/>
  <c r="E2217" i="8"/>
  <c r="D2217" i="8"/>
  <c r="C2217" i="8"/>
  <c r="B2217" i="8"/>
  <c r="A2217" i="8"/>
  <c r="F2216" i="8"/>
  <c r="E2216" i="8"/>
  <c r="D2216" i="8"/>
  <c r="C2216" i="8"/>
  <c r="B2216" i="8"/>
  <c r="A2216" i="8"/>
  <c r="F2215" i="8"/>
  <c r="E2215" i="8"/>
  <c r="D2215" i="8"/>
  <c r="C2215" i="8"/>
  <c r="B2215" i="8"/>
  <c r="A2215" i="8"/>
  <c r="F2214" i="8"/>
  <c r="E2214" i="8"/>
  <c r="D2214" i="8"/>
  <c r="C2214" i="8"/>
  <c r="B2214" i="8"/>
  <c r="A2214" i="8"/>
  <c r="F2213" i="8"/>
  <c r="E2213" i="8"/>
  <c r="D2213" i="8"/>
  <c r="C2213" i="8"/>
  <c r="B2213" i="8"/>
  <c r="A2213" i="8"/>
  <c r="F2212" i="8"/>
  <c r="E2212" i="8"/>
  <c r="D2212" i="8"/>
  <c r="C2212" i="8"/>
  <c r="B2212" i="8"/>
  <c r="A2212" i="8"/>
  <c r="F2211" i="8"/>
  <c r="E2211" i="8"/>
  <c r="B2211" i="8"/>
  <c r="A2211" i="8"/>
  <c r="F2210" i="8"/>
  <c r="E2210" i="8"/>
  <c r="D2210" i="8"/>
  <c r="C2210" i="8"/>
  <c r="B2210" i="8"/>
  <c r="A2210" i="8"/>
  <c r="F2209" i="8"/>
  <c r="E2209" i="8"/>
  <c r="D2209" i="8"/>
  <c r="C2209" i="8"/>
  <c r="B2209" i="8"/>
  <c r="A2209" i="8"/>
  <c r="F2208" i="8"/>
  <c r="E2208" i="8"/>
  <c r="D2208" i="8"/>
  <c r="C2208" i="8"/>
  <c r="B2208" i="8"/>
  <c r="A2208" i="8"/>
  <c r="F2207" i="8"/>
  <c r="E2207" i="8"/>
  <c r="D2207" i="8"/>
  <c r="C2207" i="8"/>
  <c r="B2207" i="8"/>
  <c r="A2207" i="8"/>
  <c r="F2206" i="8"/>
  <c r="E2206" i="8"/>
  <c r="D2206" i="8"/>
  <c r="C2206" i="8"/>
  <c r="B2206" i="8"/>
  <c r="A2206" i="8"/>
  <c r="F2205" i="8"/>
  <c r="E2205" i="8"/>
  <c r="D2205" i="8"/>
  <c r="C2205" i="8"/>
  <c r="B2205" i="8"/>
  <c r="A2205" i="8"/>
  <c r="F2204" i="8"/>
  <c r="E2204" i="8"/>
  <c r="D2204" i="8"/>
  <c r="C2204" i="8"/>
  <c r="B2204" i="8"/>
  <c r="A2204" i="8"/>
  <c r="F2203" i="8"/>
  <c r="E2203" i="8"/>
  <c r="D2203" i="8"/>
  <c r="C2203" i="8"/>
  <c r="B2203" i="8"/>
  <c r="A2203" i="8"/>
  <c r="F2202" i="8"/>
  <c r="E2202" i="8"/>
  <c r="D2202" i="8"/>
  <c r="C2202" i="8"/>
  <c r="B2202" i="8"/>
  <c r="A2202" i="8"/>
  <c r="F2201" i="8"/>
  <c r="E2201" i="8"/>
  <c r="D2201" i="8"/>
  <c r="C2201" i="8"/>
  <c r="B2201" i="8"/>
  <c r="A2201" i="8"/>
  <c r="F2200" i="8"/>
  <c r="E2200" i="8"/>
  <c r="D2200" i="8"/>
  <c r="C2200" i="8"/>
  <c r="B2200" i="8"/>
  <c r="A2200" i="8"/>
  <c r="F2199" i="8"/>
  <c r="E2199" i="8"/>
  <c r="D2199" i="8"/>
  <c r="C2199" i="8"/>
  <c r="B2199" i="8"/>
  <c r="A2199" i="8"/>
  <c r="F2198" i="8"/>
  <c r="E2198" i="8"/>
  <c r="D2198" i="8"/>
  <c r="C2198" i="8"/>
  <c r="B2198" i="8"/>
  <c r="A2198" i="8"/>
  <c r="F2197" i="8"/>
  <c r="E2197" i="8"/>
  <c r="D2197" i="8"/>
  <c r="C2197" i="8"/>
  <c r="B2197" i="8"/>
  <c r="A2197" i="8"/>
  <c r="F2196" i="8"/>
  <c r="E2196" i="8"/>
  <c r="D2196" i="8"/>
  <c r="C2196" i="8"/>
  <c r="B2196" i="8"/>
  <c r="A2196" i="8"/>
  <c r="F2195" i="8"/>
  <c r="E2195" i="8"/>
  <c r="D2195" i="8"/>
  <c r="C2195" i="8"/>
  <c r="B2195" i="8"/>
  <c r="A2195" i="8"/>
  <c r="F2194" i="8"/>
  <c r="E2194" i="8"/>
  <c r="D2194" i="8"/>
  <c r="C2194" i="8"/>
  <c r="B2194" i="8"/>
  <c r="A2194" i="8"/>
  <c r="F2193" i="8"/>
  <c r="G2193" i="8" s="1"/>
  <c r="E2193" i="8"/>
  <c r="D2193" i="8"/>
  <c r="C2193" i="8"/>
  <c r="B2193" i="8"/>
  <c r="A2193" i="8"/>
  <c r="F2192" i="8"/>
  <c r="E2192" i="8"/>
  <c r="D2192" i="8"/>
  <c r="C2192" i="8"/>
  <c r="B2192" i="8"/>
  <c r="A2192" i="8"/>
  <c r="F2191" i="8"/>
  <c r="E2191" i="8"/>
  <c r="D2191" i="8"/>
  <c r="C2191" i="8"/>
  <c r="B2191" i="8"/>
  <c r="A2191" i="8"/>
  <c r="F2190" i="8"/>
  <c r="E2190" i="8"/>
  <c r="D2190" i="8"/>
  <c r="C2190" i="8"/>
  <c r="B2190" i="8"/>
  <c r="A2190" i="8"/>
  <c r="F2189" i="8"/>
  <c r="E2189" i="8"/>
  <c r="D2189" i="8"/>
  <c r="C2189" i="8"/>
  <c r="B2189" i="8"/>
  <c r="A2189" i="8"/>
  <c r="F2188" i="8"/>
  <c r="E2188" i="8"/>
  <c r="D2188" i="8"/>
  <c r="C2188" i="8"/>
  <c r="B2188" i="8"/>
  <c r="A2188" i="8"/>
  <c r="F2187" i="8"/>
  <c r="E2187" i="8"/>
  <c r="D2187" i="8"/>
  <c r="C2187" i="8"/>
  <c r="B2187" i="8"/>
  <c r="A2187" i="8"/>
  <c r="F2186" i="8"/>
  <c r="E2186" i="8"/>
  <c r="D2186" i="8"/>
  <c r="C2186" i="8"/>
  <c r="B2186" i="8"/>
  <c r="A2186" i="8"/>
  <c r="F2185" i="8"/>
  <c r="E2185" i="8"/>
  <c r="D2185" i="8"/>
  <c r="C2185" i="8"/>
  <c r="B2185" i="8"/>
  <c r="A2185" i="8"/>
  <c r="F2184" i="8"/>
  <c r="G2184" i="8" s="1"/>
  <c r="E2184" i="8"/>
  <c r="D2184" i="8"/>
  <c r="C2184" i="8"/>
  <c r="B2184" i="8"/>
  <c r="A2184" i="8"/>
  <c r="F2183" i="8"/>
  <c r="E2183" i="8"/>
  <c r="D2183" i="8"/>
  <c r="C2183" i="8"/>
  <c r="B2183" i="8"/>
  <c r="A2183" i="8"/>
  <c r="F2182" i="8"/>
  <c r="E2182" i="8"/>
  <c r="D2182" i="8"/>
  <c r="C2182" i="8"/>
  <c r="B2182" i="8"/>
  <c r="A2182" i="8"/>
  <c r="F2181" i="8"/>
  <c r="E2181" i="8"/>
  <c r="D2181" i="8"/>
  <c r="C2181" i="8"/>
  <c r="B2181" i="8"/>
  <c r="A2181" i="8"/>
  <c r="F2180" i="8"/>
  <c r="E2180" i="8"/>
  <c r="D2180" i="8"/>
  <c r="C2180" i="8"/>
  <c r="B2180" i="8"/>
  <c r="A2180" i="8"/>
  <c r="F2179" i="8"/>
  <c r="E2179" i="8"/>
  <c r="D2179" i="8"/>
  <c r="C2179" i="8"/>
  <c r="B2179" i="8"/>
  <c r="A2179" i="8"/>
  <c r="F2178" i="8"/>
  <c r="G2178" i="8" s="1"/>
  <c r="E2178" i="8"/>
  <c r="D2178" i="8"/>
  <c r="C2178" i="8"/>
  <c r="B2178" i="8"/>
  <c r="A2178" i="8"/>
  <c r="F2177" i="8"/>
  <c r="E2177" i="8"/>
  <c r="D2177" i="8"/>
  <c r="C2177" i="8"/>
  <c r="B2177" i="8"/>
  <c r="A2177" i="8"/>
  <c r="F2176" i="8"/>
  <c r="E2176" i="8"/>
  <c r="D2176" i="8"/>
  <c r="C2176" i="8"/>
  <c r="B2176" i="8"/>
  <c r="A2176" i="8"/>
  <c r="F2175" i="8"/>
  <c r="E2175" i="8"/>
  <c r="D2175" i="8"/>
  <c r="C2175" i="8"/>
  <c r="B2175" i="8"/>
  <c r="A2175" i="8"/>
  <c r="F2174" i="8"/>
  <c r="E2174" i="8"/>
  <c r="D2174" i="8"/>
  <c r="C2174" i="8"/>
  <c r="B2174" i="8"/>
  <c r="A2174" i="8"/>
  <c r="F2173" i="8"/>
  <c r="E2173" i="8"/>
  <c r="D2173" i="8"/>
  <c r="C2173" i="8"/>
  <c r="B2173" i="8"/>
  <c r="A2173" i="8"/>
  <c r="F2172" i="8"/>
  <c r="G2172" i="8" s="1"/>
  <c r="E2172" i="8"/>
  <c r="D2172" i="8"/>
  <c r="C2172" i="8"/>
  <c r="B2172" i="8"/>
  <c r="A2172" i="8"/>
  <c r="F2171" i="8"/>
  <c r="E2171" i="8"/>
  <c r="D2171" i="8"/>
  <c r="C2171" i="8"/>
  <c r="B2171" i="8"/>
  <c r="A2171" i="8"/>
  <c r="F2170" i="8"/>
  <c r="E2170" i="8"/>
  <c r="D2170" i="8"/>
  <c r="C2170" i="8"/>
  <c r="B2170" i="8"/>
  <c r="A2170" i="8"/>
  <c r="F2169" i="8"/>
  <c r="E2169" i="8"/>
  <c r="D2169" i="8"/>
  <c r="C2169" i="8"/>
  <c r="B2169" i="8"/>
  <c r="A2169" i="8"/>
  <c r="F2168" i="8"/>
  <c r="E2168" i="8"/>
  <c r="D2168" i="8"/>
  <c r="C2168" i="8"/>
  <c r="B2168" i="8"/>
  <c r="A2168" i="8"/>
  <c r="F2167" i="8"/>
  <c r="E2167" i="8"/>
  <c r="D2167" i="8"/>
  <c r="C2167" i="8"/>
  <c r="B2167" i="8"/>
  <c r="A2167" i="8"/>
  <c r="F2166" i="8"/>
  <c r="E2166" i="8"/>
  <c r="D2166" i="8"/>
  <c r="C2166" i="8"/>
  <c r="B2166" i="8"/>
  <c r="A2166" i="8"/>
  <c r="F2165" i="8"/>
  <c r="E2165" i="8"/>
  <c r="D2165" i="8"/>
  <c r="C2165" i="8"/>
  <c r="B2165" i="8"/>
  <c r="A2165" i="8"/>
  <c r="F2164" i="8"/>
  <c r="E2164" i="8"/>
  <c r="D2164" i="8"/>
  <c r="C2164" i="8"/>
  <c r="B2164" i="8"/>
  <c r="A2164" i="8"/>
  <c r="F2163" i="8"/>
  <c r="E2163" i="8"/>
  <c r="D2163" i="8"/>
  <c r="C2163" i="8"/>
  <c r="B2163" i="8"/>
  <c r="A2163" i="8"/>
  <c r="F2162" i="8"/>
  <c r="G2162" i="8" s="1"/>
  <c r="E2162" i="8"/>
  <c r="D2162" i="8"/>
  <c r="C2162" i="8"/>
  <c r="B2162" i="8"/>
  <c r="A2162" i="8"/>
  <c r="F2161" i="8"/>
  <c r="E2161" i="8"/>
  <c r="D2161" i="8"/>
  <c r="C2161" i="8"/>
  <c r="B2161" i="8"/>
  <c r="A2161" i="8"/>
  <c r="F2160" i="8"/>
  <c r="E2160" i="8"/>
  <c r="D2160" i="8"/>
  <c r="C2160" i="8"/>
  <c r="B2160" i="8"/>
  <c r="A2160" i="8"/>
  <c r="F2159" i="8"/>
  <c r="E2159" i="8"/>
  <c r="D2159" i="8"/>
  <c r="C2159" i="8"/>
  <c r="B2159" i="8"/>
  <c r="A2159" i="8"/>
  <c r="F2158" i="8"/>
  <c r="E2158" i="8"/>
  <c r="D2158" i="8"/>
  <c r="C2158" i="8"/>
  <c r="B2158" i="8"/>
  <c r="A2158" i="8"/>
  <c r="F2157" i="8"/>
  <c r="E2157" i="8"/>
  <c r="D2157" i="8"/>
  <c r="C2157" i="8"/>
  <c r="B2157" i="8"/>
  <c r="A2157" i="8"/>
  <c r="F2156" i="8"/>
  <c r="G2156" i="8" s="1"/>
  <c r="E2156" i="8"/>
  <c r="D2156" i="8"/>
  <c r="C2156" i="8"/>
  <c r="B2156" i="8"/>
  <c r="A2156" i="8"/>
  <c r="F2155" i="8"/>
  <c r="E2155" i="8"/>
  <c r="D2155" i="8"/>
  <c r="C2155" i="8"/>
  <c r="B2155" i="8"/>
  <c r="A2155" i="8"/>
  <c r="F2154" i="8"/>
  <c r="E2154" i="8"/>
  <c r="D2154" i="8"/>
  <c r="C2154" i="8"/>
  <c r="B2154" i="8"/>
  <c r="A2154" i="8"/>
  <c r="F2153" i="8"/>
  <c r="E2153" i="8"/>
  <c r="D2153" i="8"/>
  <c r="C2153" i="8"/>
  <c r="B2153" i="8"/>
  <c r="A2153" i="8"/>
  <c r="F2152" i="8"/>
  <c r="E2152" i="8"/>
  <c r="D2152" i="8"/>
  <c r="C2152" i="8"/>
  <c r="B2152" i="8"/>
  <c r="A2152" i="8"/>
  <c r="F2151" i="8"/>
  <c r="E2151" i="8"/>
  <c r="D2151" i="8"/>
  <c r="C2151" i="8"/>
  <c r="B2151" i="8"/>
  <c r="A2151" i="8"/>
  <c r="F2150" i="8"/>
  <c r="E2150" i="8"/>
  <c r="D2150" i="8"/>
  <c r="C2150" i="8"/>
  <c r="B2150" i="8"/>
  <c r="A2150" i="8"/>
  <c r="F2149" i="8"/>
  <c r="E2149" i="8"/>
  <c r="D2149" i="8"/>
  <c r="C2149" i="8"/>
  <c r="B2149" i="8"/>
  <c r="A2149" i="8"/>
  <c r="F2148" i="8"/>
  <c r="E2148" i="8"/>
  <c r="D2148" i="8"/>
  <c r="C2148" i="8"/>
  <c r="B2148" i="8"/>
  <c r="A2148" i="8"/>
  <c r="F2147" i="8"/>
  <c r="E2147" i="8"/>
  <c r="D2147" i="8"/>
  <c r="C2147" i="8"/>
  <c r="B2147" i="8"/>
  <c r="A2147" i="8"/>
  <c r="F2146" i="8"/>
  <c r="G2146" i="8" s="1"/>
  <c r="E2146" i="8"/>
  <c r="D2146" i="8"/>
  <c r="C2146" i="8"/>
  <c r="B2146" i="8"/>
  <c r="A2146" i="8"/>
  <c r="F2145" i="8"/>
  <c r="E2145" i="8"/>
  <c r="D2145" i="8"/>
  <c r="C2145" i="8"/>
  <c r="B2145" i="8"/>
  <c r="A2145" i="8"/>
  <c r="F2144" i="8"/>
  <c r="E2144" i="8"/>
  <c r="D2144" i="8"/>
  <c r="C2144" i="8"/>
  <c r="B2144" i="8"/>
  <c r="A2144" i="8"/>
  <c r="F2143" i="8"/>
  <c r="G2143" i="8" s="1"/>
  <c r="E2143" i="8"/>
  <c r="D2143" i="8"/>
  <c r="C2143" i="8"/>
  <c r="B2143" i="8"/>
  <c r="A2143" i="8"/>
  <c r="F2142" i="8"/>
  <c r="G2142" i="8" s="1"/>
  <c r="E2142" i="8"/>
  <c r="D2142" i="8"/>
  <c r="C2142" i="8"/>
  <c r="B2142" i="8"/>
  <c r="A2142" i="8"/>
  <c r="F2141" i="8"/>
  <c r="E2141" i="8"/>
  <c r="D2141" i="8"/>
  <c r="C2141" i="8"/>
  <c r="A2141" i="8"/>
  <c r="F2140" i="8"/>
  <c r="E2140" i="8"/>
  <c r="D2140" i="8"/>
  <c r="C2140" i="8"/>
  <c r="A2140" i="8"/>
  <c r="F2139" i="8"/>
  <c r="E2139" i="8"/>
  <c r="D2139" i="8"/>
  <c r="C2139" i="8"/>
  <c r="B2139" i="8"/>
  <c r="A2139" i="8"/>
  <c r="F2138" i="8"/>
  <c r="G2138" i="8" s="1"/>
  <c r="E2138" i="8"/>
  <c r="D2138" i="8"/>
  <c r="C2138" i="8"/>
  <c r="B2138" i="8"/>
  <c r="A2138" i="8"/>
  <c r="F2137" i="8"/>
  <c r="G2137" i="8" s="1"/>
  <c r="E2137" i="8"/>
  <c r="D2137" i="8"/>
  <c r="C2137" i="8"/>
  <c r="B2137" i="8"/>
  <c r="A2137" i="8"/>
  <c r="F2136" i="8"/>
  <c r="E2136" i="8"/>
  <c r="D2136" i="8"/>
  <c r="C2136" i="8"/>
  <c r="B2136" i="8"/>
  <c r="A2136" i="8"/>
  <c r="F2135" i="8"/>
  <c r="G2135" i="8" s="1"/>
  <c r="E2135" i="8"/>
  <c r="D2135" i="8"/>
  <c r="C2135" i="8"/>
  <c r="B2135" i="8"/>
  <c r="A2135" i="8"/>
  <c r="F2134" i="8"/>
  <c r="E2134" i="8"/>
  <c r="D2134" i="8"/>
  <c r="C2134" i="8"/>
  <c r="B2134" i="8"/>
  <c r="A2134" i="8"/>
  <c r="F2133" i="8"/>
  <c r="G2133" i="8" s="1"/>
  <c r="E2133" i="8"/>
  <c r="D2133" i="8"/>
  <c r="C2133" i="8"/>
  <c r="B2133" i="8"/>
  <c r="A2133" i="8"/>
  <c r="F2132" i="8"/>
  <c r="G2132" i="8" s="1"/>
  <c r="E2132" i="8"/>
  <c r="D2132" i="8"/>
  <c r="C2132" i="8"/>
  <c r="B2132" i="8"/>
  <c r="A2132" i="8"/>
  <c r="F2131" i="8"/>
  <c r="E2131" i="8"/>
  <c r="D2131" i="8"/>
  <c r="C2131" i="8"/>
  <c r="B2131" i="8"/>
  <c r="A2131" i="8"/>
  <c r="F2130" i="8"/>
  <c r="E2130" i="8"/>
  <c r="D2130" i="8"/>
  <c r="C2130" i="8"/>
  <c r="B2130" i="8"/>
  <c r="A2130" i="8"/>
  <c r="F2129" i="8"/>
  <c r="G2129" i="8" s="1"/>
  <c r="E2129" i="8"/>
  <c r="D2129" i="8"/>
  <c r="C2129" i="8"/>
  <c r="B2129" i="8"/>
  <c r="A2129" i="8"/>
  <c r="F2128" i="8"/>
  <c r="E2128" i="8"/>
  <c r="D2128" i="8"/>
  <c r="C2128" i="8"/>
  <c r="B2128" i="8"/>
  <c r="A2128" i="8"/>
  <c r="F2127" i="8"/>
  <c r="E2127" i="8"/>
  <c r="D2127" i="8"/>
  <c r="C2127" i="8"/>
  <c r="B2127" i="8"/>
  <c r="A2127" i="8"/>
  <c r="F2126" i="8"/>
  <c r="E2126" i="8"/>
  <c r="D2126" i="8"/>
  <c r="C2126" i="8"/>
  <c r="B2126" i="8"/>
  <c r="A2126" i="8"/>
  <c r="F2125" i="8"/>
  <c r="E2125" i="8"/>
  <c r="D2125" i="8"/>
  <c r="C2125" i="8"/>
  <c r="B2125" i="8"/>
  <c r="A2125" i="8"/>
  <c r="F2124" i="8"/>
  <c r="E2124" i="8"/>
  <c r="D2124" i="8"/>
  <c r="C2124" i="8"/>
  <c r="B2124" i="8"/>
  <c r="A2124" i="8"/>
  <c r="F2123" i="8"/>
  <c r="E2123" i="8"/>
  <c r="D2123" i="8"/>
  <c r="C2123" i="8"/>
  <c r="B2123" i="8"/>
  <c r="A2123" i="8"/>
  <c r="F2122" i="8"/>
  <c r="E2122" i="8"/>
  <c r="D2122" i="8"/>
  <c r="C2122" i="8"/>
  <c r="B2122" i="8"/>
  <c r="A2122" i="8"/>
  <c r="F2121" i="8"/>
  <c r="E2121" i="8"/>
  <c r="D2121" i="8"/>
  <c r="C2121" i="8"/>
  <c r="B2121" i="8"/>
  <c r="A2121" i="8"/>
  <c r="F2120" i="8"/>
  <c r="E2120" i="8"/>
  <c r="D2120" i="8"/>
  <c r="C2120" i="8"/>
  <c r="B2120" i="8"/>
  <c r="A2120" i="8"/>
  <c r="F2119" i="8"/>
  <c r="E2119" i="8"/>
  <c r="D2119" i="8"/>
  <c r="C2119" i="8"/>
  <c r="B2119" i="8"/>
  <c r="A2119" i="8"/>
  <c r="F2118" i="8"/>
  <c r="E2118" i="8"/>
  <c r="D2118" i="8"/>
  <c r="C2118" i="8"/>
  <c r="B2118" i="8"/>
  <c r="A2118" i="8"/>
  <c r="F2117" i="8"/>
  <c r="E2117" i="8"/>
  <c r="D2117" i="8"/>
  <c r="C2117" i="8"/>
  <c r="B2117" i="8"/>
  <c r="A2117" i="8"/>
  <c r="F2116" i="8"/>
  <c r="E2116" i="8"/>
  <c r="D2116" i="8"/>
  <c r="C2116" i="8"/>
  <c r="B2116" i="8"/>
  <c r="A2116" i="8"/>
  <c r="F2115" i="8"/>
  <c r="E2115" i="8"/>
  <c r="D2115" i="8"/>
  <c r="C2115" i="8"/>
  <c r="B2115" i="8"/>
  <c r="A2115" i="8"/>
  <c r="F2114" i="8"/>
  <c r="E2114" i="8"/>
  <c r="D2114" i="8"/>
  <c r="C2114" i="8"/>
  <c r="B2114" i="8"/>
  <c r="A2114" i="8"/>
  <c r="F2113" i="8"/>
  <c r="E2113" i="8"/>
  <c r="D2113" i="8"/>
  <c r="C2113" i="8"/>
  <c r="B2113" i="8"/>
  <c r="A2113" i="8"/>
  <c r="F2112" i="8"/>
  <c r="E2112" i="8"/>
  <c r="D2112" i="8"/>
  <c r="C2112" i="8"/>
  <c r="B2112" i="8"/>
  <c r="A2112" i="8"/>
  <c r="F2111" i="8"/>
  <c r="E2111" i="8"/>
  <c r="D2111" i="8"/>
  <c r="C2111" i="8"/>
  <c r="B2111" i="8"/>
  <c r="A2111" i="8"/>
  <c r="F2110" i="8"/>
  <c r="E2110" i="8"/>
  <c r="D2110" i="8"/>
  <c r="C2110" i="8"/>
  <c r="B2110" i="8"/>
  <c r="A2110" i="8"/>
  <c r="F2109" i="8"/>
  <c r="E2109" i="8"/>
  <c r="D2109" i="8"/>
  <c r="C2109" i="8"/>
  <c r="B2109" i="8"/>
  <c r="A2109" i="8"/>
  <c r="F2108" i="8"/>
  <c r="E2108" i="8"/>
  <c r="D2108" i="8"/>
  <c r="C2108" i="8"/>
  <c r="B2108" i="8"/>
  <c r="A2108" i="8"/>
  <c r="F2107" i="8"/>
  <c r="E2107" i="8"/>
  <c r="D2107" i="8"/>
  <c r="C2107" i="8"/>
  <c r="B2107" i="8"/>
  <c r="A2107" i="8"/>
  <c r="F2106" i="8"/>
  <c r="E2106" i="8"/>
  <c r="D2106" i="8"/>
  <c r="C2106" i="8"/>
  <c r="B2106" i="8"/>
  <c r="A2106" i="8"/>
  <c r="F2105" i="8"/>
  <c r="E2105" i="8"/>
  <c r="D2105" i="8"/>
  <c r="C2105" i="8"/>
  <c r="B2105" i="8"/>
  <c r="A2105" i="8"/>
  <c r="F2104" i="8"/>
  <c r="E2104" i="8"/>
  <c r="D2104" i="8"/>
  <c r="C2104" i="8"/>
  <c r="B2104" i="8"/>
  <c r="A2104" i="8"/>
  <c r="F2103" i="8"/>
  <c r="E2103" i="8"/>
  <c r="D2103" i="8"/>
  <c r="C2103" i="8"/>
  <c r="B2103" i="8"/>
  <c r="A2103" i="8"/>
  <c r="F2102" i="8"/>
  <c r="E2102" i="8"/>
  <c r="D2102" i="8"/>
  <c r="C2102" i="8"/>
  <c r="B2102" i="8"/>
  <c r="A2102" i="8"/>
  <c r="F2101" i="8"/>
  <c r="E2101" i="8"/>
  <c r="D2101" i="8"/>
  <c r="C2101" i="8"/>
  <c r="B2101" i="8"/>
  <c r="A2101" i="8"/>
  <c r="F2100" i="8"/>
  <c r="E2100" i="8"/>
  <c r="D2100" i="8"/>
  <c r="C2100" i="8"/>
  <c r="B2100" i="8"/>
  <c r="A2100" i="8"/>
  <c r="F2099" i="8"/>
  <c r="E2099" i="8"/>
  <c r="D2099" i="8"/>
  <c r="C2099" i="8"/>
  <c r="B2099" i="8"/>
  <c r="A2099" i="8"/>
  <c r="F2098" i="8"/>
  <c r="E2098" i="8"/>
  <c r="D2098" i="8"/>
  <c r="C2098" i="8"/>
  <c r="B2098" i="8"/>
  <c r="A2098" i="8"/>
  <c r="F2097" i="8"/>
  <c r="E2097" i="8"/>
  <c r="D2097" i="8"/>
  <c r="C2097" i="8"/>
  <c r="B2097" i="8"/>
  <c r="A2097" i="8"/>
  <c r="F2096" i="8"/>
  <c r="E2096" i="8"/>
  <c r="D2096" i="8"/>
  <c r="C2096" i="8"/>
  <c r="B2096" i="8"/>
  <c r="A2096" i="8"/>
  <c r="F2095" i="8"/>
  <c r="E2095" i="8"/>
  <c r="D2095" i="8"/>
  <c r="C2095" i="8"/>
  <c r="B2095" i="8"/>
  <c r="A2095" i="8"/>
  <c r="F2094" i="8"/>
  <c r="E2094" i="8"/>
  <c r="D2094" i="8"/>
  <c r="C2094" i="8"/>
  <c r="B2094" i="8"/>
  <c r="A2094" i="8"/>
  <c r="F2093" i="8"/>
  <c r="E2093" i="8"/>
  <c r="D2093" i="8"/>
  <c r="C2093" i="8"/>
  <c r="B2093" i="8"/>
  <c r="A2093" i="8"/>
  <c r="F2092" i="8"/>
  <c r="E2092" i="8"/>
  <c r="D2092" i="8"/>
  <c r="C2092" i="8"/>
  <c r="B2092" i="8"/>
  <c r="A2092" i="8"/>
  <c r="F2091" i="8"/>
  <c r="E2091" i="8"/>
  <c r="D2091" i="8"/>
  <c r="C2091" i="8"/>
  <c r="B2091" i="8"/>
  <c r="A2091" i="8"/>
  <c r="F2090" i="8"/>
  <c r="E2090" i="8"/>
  <c r="D2090" i="8"/>
  <c r="C2090" i="8"/>
  <c r="B2090" i="8"/>
  <c r="A2090" i="8"/>
  <c r="F2089" i="8"/>
  <c r="E2089" i="8"/>
  <c r="D2089" i="8"/>
  <c r="C2089" i="8"/>
  <c r="B2089" i="8"/>
  <c r="A2089" i="8"/>
  <c r="F2088" i="8"/>
  <c r="E2088" i="8"/>
  <c r="D2088" i="8"/>
  <c r="C2088" i="8"/>
  <c r="B2088" i="8"/>
  <c r="A2088" i="8"/>
  <c r="F2087" i="8"/>
  <c r="E2087" i="8"/>
  <c r="D2087" i="8"/>
  <c r="C2087" i="8"/>
  <c r="B2087" i="8"/>
  <c r="A2087" i="8"/>
  <c r="F2086" i="8"/>
  <c r="E2086" i="8"/>
  <c r="D2086" i="8"/>
  <c r="C2086" i="8"/>
  <c r="B2086" i="8"/>
  <c r="A2086" i="8"/>
  <c r="F2085" i="8"/>
  <c r="E2085" i="8"/>
  <c r="D2085" i="8"/>
  <c r="C2085" i="8"/>
  <c r="B2085" i="8"/>
  <c r="A2085" i="8"/>
  <c r="F2084" i="8"/>
  <c r="G2084" i="8" s="1"/>
  <c r="E2084" i="8"/>
  <c r="D2084" i="8"/>
  <c r="C2084" i="8"/>
  <c r="B2084" i="8"/>
  <c r="A2084" i="8"/>
  <c r="F2083" i="8"/>
  <c r="E2083" i="8"/>
  <c r="D2083" i="8"/>
  <c r="C2083" i="8"/>
  <c r="B2083" i="8"/>
  <c r="A2083" i="8"/>
  <c r="F2082" i="8"/>
  <c r="E2082" i="8"/>
  <c r="D2082" i="8"/>
  <c r="C2082" i="8"/>
  <c r="B2082" i="8"/>
  <c r="A2082" i="8"/>
  <c r="F2081" i="8"/>
  <c r="E2081" i="8"/>
  <c r="D2081" i="8"/>
  <c r="C2081" i="8"/>
  <c r="B2081" i="8"/>
  <c r="A2081" i="8"/>
  <c r="F2080" i="8"/>
  <c r="E2080" i="8"/>
  <c r="D2080" i="8"/>
  <c r="C2080" i="8"/>
  <c r="B2080" i="8"/>
  <c r="A2080" i="8"/>
  <c r="F2079" i="8"/>
  <c r="E2079" i="8"/>
  <c r="D2079" i="8"/>
  <c r="C2079" i="8"/>
  <c r="B2079" i="8"/>
  <c r="A2079" i="8"/>
  <c r="F2078" i="8"/>
  <c r="E2078" i="8"/>
  <c r="D2078" i="8"/>
  <c r="C2078" i="8"/>
  <c r="B2078" i="8"/>
  <c r="A2078" i="8"/>
  <c r="F2077" i="8"/>
  <c r="E2077" i="8"/>
  <c r="D2077" i="8"/>
  <c r="C2077" i="8"/>
  <c r="B2077" i="8"/>
  <c r="A2077" i="8"/>
  <c r="F2076" i="8"/>
  <c r="E2076" i="8"/>
  <c r="D2076" i="8"/>
  <c r="C2076" i="8"/>
  <c r="B2076" i="8"/>
  <c r="A2076" i="8"/>
  <c r="F2075" i="8"/>
  <c r="E2075" i="8"/>
  <c r="D2075" i="8"/>
  <c r="C2075" i="8"/>
  <c r="B2075" i="8"/>
  <c r="A2075" i="8"/>
  <c r="F2074" i="8"/>
  <c r="E2074" i="8"/>
  <c r="D2074" i="8"/>
  <c r="C2074" i="8"/>
  <c r="B2074" i="8"/>
  <c r="A2074" i="8"/>
  <c r="F2073" i="8"/>
  <c r="E2073" i="8"/>
  <c r="D2073" i="8"/>
  <c r="C2073" i="8"/>
  <c r="B2073" i="8"/>
  <c r="A2073" i="8"/>
  <c r="F2072" i="8"/>
  <c r="E2072" i="8"/>
  <c r="D2072" i="8"/>
  <c r="C2072" i="8"/>
  <c r="B2072" i="8"/>
  <c r="A2072" i="8"/>
  <c r="F2071" i="8"/>
  <c r="E2071" i="8"/>
  <c r="D2071" i="8"/>
  <c r="C2071" i="8"/>
  <c r="B2071" i="8"/>
  <c r="A2071" i="8"/>
  <c r="F2070" i="8"/>
  <c r="E2070" i="8"/>
  <c r="D2070" i="8"/>
  <c r="C2070" i="8"/>
  <c r="B2070" i="8"/>
  <c r="A2070" i="8"/>
  <c r="F2069" i="8"/>
  <c r="E2069" i="8"/>
  <c r="D2069" i="8"/>
  <c r="C2069" i="8"/>
  <c r="B2069" i="8"/>
  <c r="A2069" i="8"/>
  <c r="F2068" i="8"/>
  <c r="G2068" i="8" s="1"/>
  <c r="E2068" i="8"/>
  <c r="D2068" i="8"/>
  <c r="C2068" i="8"/>
  <c r="B2068" i="8"/>
  <c r="A2068" i="8"/>
  <c r="F2067" i="8"/>
  <c r="E2067" i="8"/>
  <c r="D2067" i="8"/>
  <c r="C2067" i="8"/>
  <c r="B2067" i="8"/>
  <c r="A2067" i="8"/>
  <c r="F2066" i="8"/>
  <c r="E2066" i="8"/>
  <c r="D2066" i="8"/>
  <c r="C2066" i="8"/>
  <c r="B2066" i="8"/>
  <c r="A2066" i="8"/>
  <c r="F2065" i="8"/>
  <c r="G2065" i="8" s="1"/>
  <c r="E2065" i="8"/>
  <c r="D2065" i="8"/>
  <c r="C2065" i="8"/>
  <c r="B2065" i="8"/>
  <c r="A2065" i="8"/>
  <c r="F2064" i="8"/>
  <c r="E2064" i="8"/>
  <c r="D2064" i="8"/>
  <c r="C2064" i="8"/>
  <c r="B2064" i="8"/>
  <c r="A2064" i="8"/>
  <c r="F2063" i="8"/>
  <c r="E2063" i="8"/>
  <c r="D2063" i="8"/>
  <c r="C2063" i="8"/>
  <c r="B2063" i="8"/>
  <c r="A2063" i="8"/>
  <c r="F2062" i="8"/>
  <c r="G2062" i="8" s="1"/>
  <c r="E2062" i="8"/>
  <c r="D2062" i="8"/>
  <c r="C2062" i="8"/>
  <c r="B2062" i="8"/>
  <c r="A2062" i="8"/>
  <c r="F2061" i="8"/>
  <c r="G2061" i="8" s="1"/>
  <c r="E2061" i="8"/>
  <c r="D2061" i="8"/>
  <c r="C2061" i="8"/>
  <c r="B2061" i="8"/>
  <c r="A2061" i="8"/>
  <c r="F2060" i="8"/>
  <c r="E2060" i="8"/>
  <c r="D2060" i="8"/>
  <c r="C2060" i="8"/>
  <c r="B2060" i="8"/>
  <c r="A2060" i="8"/>
  <c r="F2059" i="8"/>
  <c r="E2059" i="8"/>
  <c r="D2059" i="8"/>
  <c r="C2059" i="8"/>
  <c r="B2059" i="8"/>
  <c r="A2059" i="8"/>
  <c r="F2058" i="8"/>
  <c r="G2058" i="8" s="1"/>
  <c r="E2058" i="8"/>
  <c r="D2058" i="8"/>
  <c r="C2058" i="8"/>
  <c r="B2058" i="8"/>
  <c r="A2058" i="8"/>
  <c r="F2057" i="8"/>
  <c r="G2057" i="8" s="1"/>
  <c r="E2057" i="8"/>
  <c r="D2057" i="8"/>
  <c r="C2057" i="8"/>
  <c r="B2057" i="8"/>
  <c r="A2057" i="8"/>
  <c r="F2056" i="8"/>
  <c r="E2056" i="8"/>
  <c r="D2056" i="8"/>
  <c r="C2056" i="8"/>
  <c r="B2056" i="8"/>
  <c r="A2056" i="8"/>
  <c r="F2055" i="8"/>
  <c r="G2055" i="8" s="1"/>
  <c r="E2055" i="8"/>
  <c r="D2055" i="8"/>
  <c r="C2055" i="8"/>
  <c r="B2055" i="8"/>
  <c r="A2055" i="8"/>
  <c r="F2054" i="8"/>
  <c r="E2054" i="8"/>
  <c r="D2054" i="8"/>
  <c r="C2054" i="8"/>
  <c r="B2054" i="8"/>
  <c r="A2054" i="8"/>
  <c r="F2053" i="8"/>
  <c r="G2053" i="8" s="1"/>
  <c r="E2053" i="8"/>
  <c r="D2053" i="8"/>
  <c r="C2053" i="8"/>
  <c r="B2053" i="8"/>
  <c r="A2053" i="8"/>
  <c r="F2052" i="8"/>
  <c r="G2052" i="8" s="1"/>
  <c r="E2052" i="8"/>
  <c r="D2052" i="8"/>
  <c r="C2052" i="8"/>
  <c r="B2052" i="8"/>
  <c r="A2052" i="8"/>
  <c r="F2051" i="8"/>
  <c r="E2051" i="8"/>
  <c r="D2051" i="8"/>
  <c r="C2051" i="8"/>
  <c r="B2051" i="8"/>
  <c r="A2051" i="8"/>
  <c r="F2050" i="8"/>
  <c r="E2050" i="8"/>
  <c r="D2050" i="8"/>
  <c r="C2050" i="8"/>
  <c r="B2050" i="8"/>
  <c r="A2050" i="8"/>
  <c r="F2049" i="8"/>
  <c r="G2049" i="8" s="1"/>
  <c r="E2049" i="8"/>
  <c r="D2049" i="8"/>
  <c r="C2049" i="8"/>
  <c r="B2049" i="8"/>
  <c r="A2049" i="8"/>
  <c r="F2048" i="8"/>
  <c r="G2048" i="8" s="1"/>
  <c r="E2048" i="8"/>
  <c r="D2048" i="8"/>
  <c r="C2048" i="8"/>
  <c r="B2048" i="8"/>
  <c r="A2048" i="8"/>
  <c r="F2047" i="8"/>
  <c r="E2047" i="8"/>
  <c r="D2047" i="8"/>
  <c r="C2047" i="8"/>
  <c r="B2047" i="8"/>
  <c r="A2047" i="8"/>
  <c r="F2046" i="8"/>
  <c r="E2046" i="8"/>
  <c r="D2046" i="8"/>
  <c r="C2046" i="8"/>
  <c r="B2046" i="8"/>
  <c r="A2046" i="8"/>
  <c r="F2045" i="8"/>
  <c r="E2045" i="8"/>
  <c r="D2045" i="8"/>
  <c r="C2045" i="8"/>
  <c r="B2045" i="8"/>
  <c r="A2045" i="8"/>
  <c r="F2044" i="8"/>
  <c r="E2044" i="8"/>
  <c r="D2044" i="8"/>
  <c r="C2044" i="8"/>
  <c r="B2044" i="8"/>
  <c r="A2044" i="8"/>
  <c r="F2043" i="8"/>
  <c r="E2043" i="8"/>
  <c r="D2043" i="8"/>
  <c r="C2043" i="8"/>
  <c r="B2043" i="8"/>
  <c r="A2043" i="8"/>
  <c r="F2042" i="8"/>
  <c r="E2042" i="8"/>
  <c r="D2042" i="8"/>
  <c r="C2042" i="8"/>
  <c r="B2042" i="8"/>
  <c r="A2042" i="8"/>
  <c r="F2041" i="8"/>
  <c r="E2041" i="8"/>
  <c r="D2041" i="8"/>
  <c r="C2041" i="8"/>
  <c r="B2041" i="8"/>
  <c r="A2041" i="8"/>
  <c r="F2040" i="8"/>
  <c r="E2040" i="8"/>
  <c r="D2040" i="8"/>
  <c r="C2040" i="8"/>
  <c r="B2040" i="8"/>
  <c r="A2040" i="8"/>
  <c r="F2039" i="8"/>
  <c r="E2039" i="8"/>
  <c r="D2039" i="8"/>
  <c r="C2039" i="8"/>
  <c r="B2039" i="8"/>
  <c r="A2039" i="8"/>
  <c r="F2038" i="8"/>
  <c r="E2038" i="8"/>
  <c r="D2038" i="8"/>
  <c r="C2038" i="8"/>
  <c r="B2038" i="8"/>
  <c r="A2038" i="8"/>
  <c r="F2037" i="8"/>
  <c r="E2037" i="8"/>
  <c r="D2037" i="8"/>
  <c r="C2037" i="8"/>
  <c r="B2037" i="8"/>
  <c r="A2037" i="8"/>
  <c r="F2036" i="8"/>
  <c r="E2036" i="8"/>
  <c r="D2036" i="8"/>
  <c r="C2036" i="8"/>
  <c r="B2036" i="8"/>
  <c r="A2036" i="8"/>
  <c r="F2035" i="8"/>
  <c r="E2035" i="8"/>
  <c r="D2035" i="8"/>
  <c r="C2035" i="8"/>
  <c r="B2035" i="8"/>
  <c r="A2035" i="8"/>
  <c r="F2034" i="8"/>
  <c r="E2034" i="8"/>
  <c r="D2034" i="8"/>
  <c r="C2034" i="8"/>
  <c r="B2034" i="8"/>
  <c r="A2034" i="8"/>
  <c r="F2033" i="8"/>
  <c r="E2033" i="8"/>
  <c r="D2033" i="8"/>
  <c r="C2033" i="8"/>
  <c r="B2033" i="8"/>
  <c r="A2033" i="8"/>
  <c r="F2032" i="8"/>
  <c r="E2032" i="8"/>
  <c r="D2032" i="8"/>
  <c r="C2032" i="8"/>
  <c r="B2032" i="8"/>
  <c r="A2032" i="8"/>
  <c r="F2031" i="8"/>
  <c r="E2031" i="8"/>
  <c r="D2031" i="8"/>
  <c r="C2031" i="8"/>
  <c r="B2031" i="8"/>
  <c r="A2031" i="8"/>
  <c r="F2030" i="8"/>
  <c r="G2030" i="8" s="1"/>
  <c r="E2030" i="8"/>
  <c r="D2030" i="8"/>
  <c r="C2030" i="8"/>
  <c r="B2030" i="8"/>
  <c r="A2030" i="8"/>
  <c r="F2029" i="8"/>
  <c r="E2029" i="8"/>
  <c r="D2029" i="8"/>
  <c r="C2029" i="8"/>
  <c r="B2029" i="8"/>
  <c r="A2029" i="8"/>
  <c r="F2028" i="8"/>
  <c r="E2028" i="8"/>
  <c r="D2028" i="8"/>
  <c r="C2028" i="8"/>
  <c r="B2028" i="8"/>
  <c r="A2028" i="8"/>
  <c r="F2027" i="8"/>
  <c r="E2027" i="8"/>
  <c r="D2027" i="8"/>
  <c r="C2027" i="8"/>
  <c r="B2027" i="8"/>
  <c r="A2027" i="8"/>
  <c r="F2026" i="8"/>
  <c r="G2026" i="8" s="1"/>
  <c r="E2026" i="8"/>
  <c r="D2026" i="8"/>
  <c r="C2026" i="8"/>
  <c r="B2026" i="8"/>
  <c r="A2026" i="8"/>
  <c r="F2025" i="8"/>
  <c r="G2025" i="8" s="1"/>
  <c r="E2025" i="8"/>
  <c r="D2025" i="8"/>
  <c r="C2025" i="8"/>
  <c r="B2025" i="8"/>
  <c r="A2025" i="8"/>
  <c r="F2024" i="8"/>
  <c r="E2024" i="8"/>
  <c r="D2024" i="8"/>
  <c r="C2024" i="8"/>
  <c r="B2024" i="8"/>
  <c r="A2024" i="8"/>
  <c r="F2023" i="8"/>
  <c r="G2023" i="8" s="1"/>
  <c r="E2023" i="8"/>
  <c r="D2023" i="8"/>
  <c r="C2023" i="8"/>
  <c r="B2023" i="8"/>
  <c r="A2023" i="8"/>
  <c r="F2022" i="8"/>
  <c r="E2022" i="8"/>
  <c r="D2022" i="8"/>
  <c r="C2022" i="8"/>
  <c r="B2022" i="8"/>
  <c r="A2022" i="8"/>
  <c r="F2021" i="8"/>
  <c r="G2021" i="8" s="1"/>
  <c r="E2021" i="8"/>
  <c r="D2021" i="8"/>
  <c r="C2021" i="8"/>
  <c r="B2021" i="8"/>
  <c r="A2021" i="8"/>
  <c r="F2020" i="8"/>
  <c r="G2020" i="8" s="1"/>
  <c r="E2020" i="8"/>
  <c r="D2020" i="8"/>
  <c r="C2020" i="8"/>
  <c r="B2020" i="8"/>
  <c r="A2020" i="8"/>
  <c r="F2019" i="8"/>
  <c r="E2019" i="8"/>
  <c r="D2019" i="8"/>
  <c r="C2019" i="8"/>
  <c r="B2019" i="8"/>
  <c r="A2019" i="8"/>
  <c r="F2018" i="8"/>
  <c r="E2018" i="8"/>
  <c r="D2018" i="8"/>
  <c r="C2018" i="8"/>
  <c r="B2018" i="8"/>
  <c r="A2018" i="8"/>
  <c r="F2017" i="8"/>
  <c r="G2017" i="8" s="1"/>
  <c r="E2017" i="8"/>
  <c r="D2017" i="8"/>
  <c r="C2017" i="8"/>
  <c r="B2017" i="8"/>
  <c r="A2017" i="8"/>
  <c r="F2016" i="8"/>
  <c r="G2016" i="8" s="1"/>
  <c r="E2016" i="8"/>
  <c r="D2016" i="8"/>
  <c r="C2016" i="8"/>
  <c r="B2016" i="8"/>
  <c r="A2016" i="8"/>
  <c r="F2015" i="8"/>
  <c r="E2015" i="8"/>
  <c r="D2015" i="8"/>
  <c r="C2015" i="8"/>
  <c r="B2015" i="8"/>
  <c r="A2015" i="8"/>
  <c r="G2014" i="8"/>
  <c r="F2014" i="8"/>
  <c r="E2014" i="8"/>
  <c r="D2014" i="8"/>
  <c r="C2014" i="8"/>
  <c r="B2014" i="8"/>
  <c r="A2014" i="8"/>
  <c r="F2013" i="8"/>
  <c r="E2013" i="8"/>
  <c r="D2013" i="8"/>
  <c r="C2013" i="8"/>
  <c r="B2013" i="8"/>
  <c r="A2013" i="8"/>
  <c r="F2012" i="8"/>
  <c r="E2012" i="8"/>
  <c r="D2012" i="8"/>
  <c r="C2012" i="8"/>
  <c r="B2012" i="8"/>
  <c r="A2012" i="8"/>
  <c r="F2011" i="8"/>
  <c r="E2011" i="8"/>
  <c r="D2011" i="8"/>
  <c r="C2011" i="8"/>
  <c r="B2011" i="8"/>
  <c r="A2011" i="8"/>
  <c r="F2010" i="8"/>
  <c r="E2010" i="8"/>
  <c r="D2010" i="8"/>
  <c r="C2010" i="8"/>
  <c r="B2010" i="8"/>
  <c r="A2010" i="8"/>
  <c r="F2009" i="8"/>
  <c r="E2009" i="8"/>
  <c r="D2009" i="8"/>
  <c r="C2009" i="8"/>
  <c r="B2009" i="8"/>
  <c r="A2009" i="8"/>
  <c r="F2008" i="8"/>
  <c r="E2008" i="8"/>
  <c r="D2008" i="8"/>
  <c r="C2008" i="8"/>
  <c r="B2008" i="8"/>
  <c r="A2008" i="8"/>
  <c r="F2007" i="8"/>
  <c r="E2007" i="8"/>
  <c r="D2007" i="8"/>
  <c r="C2007" i="8"/>
  <c r="B2007" i="8"/>
  <c r="A2007" i="8"/>
  <c r="F2006" i="8"/>
  <c r="E2006" i="8"/>
  <c r="D2006" i="8"/>
  <c r="C2006" i="8"/>
  <c r="B2006" i="8"/>
  <c r="A2006" i="8"/>
  <c r="G2006" i="8" s="1"/>
  <c r="F2005" i="8"/>
  <c r="E2005" i="8"/>
  <c r="D2005" i="8"/>
  <c r="C2005" i="8"/>
  <c r="B2005" i="8"/>
  <c r="A2005" i="8"/>
  <c r="F2004" i="8"/>
  <c r="E2004" i="8"/>
  <c r="D2004" i="8"/>
  <c r="C2004" i="8"/>
  <c r="B2004" i="8"/>
  <c r="A2004" i="8"/>
  <c r="G2004" i="8" s="1"/>
  <c r="F2003" i="8"/>
  <c r="E2003" i="8"/>
  <c r="D2003" i="8"/>
  <c r="C2003" i="8"/>
  <c r="B2003" i="8"/>
  <c r="A2003" i="8"/>
  <c r="F2002" i="8"/>
  <c r="E2002" i="8"/>
  <c r="D2002" i="8"/>
  <c r="C2002" i="8"/>
  <c r="B2002" i="8"/>
  <c r="A2002" i="8"/>
  <c r="G2002" i="8" s="1"/>
  <c r="F2001" i="8"/>
  <c r="E2001" i="8"/>
  <c r="D2001" i="8"/>
  <c r="C2001" i="8"/>
  <c r="B2001" i="8"/>
  <c r="A2001" i="8"/>
  <c r="F2000" i="8"/>
  <c r="E2000" i="8"/>
  <c r="D2000" i="8"/>
  <c r="C2000" i="8"/>
  <c r="B2000" i="8"/>
  <c r="A2000" i="8"/>
  <c r="F1999" i="8"/>
  <c r="E1999" i="8"/>
  <c r="D1999" i="8"/>
  <c r="C1999" i="8"/>
  <c r="B1999" i="8"/>
  <c r="A1999" i="8"/>
  <c r="F1998" i="8"/>
  <c r="E1998" i="8"/>
  <c r="D1998" i="8"/>
  <c r="C1998" i="8"/>
  <c r="B1998" i="8"/>
  <c r="A1998" i="8"/>
  <c r="G1998" i="8" s="1"/>
  <c r="F1997" i="8"/>
  <c r="E1997" i="8"/>
  <c r="D1997" i="8"/>
  <c r="C1997" i="8"/>
  <c r="B1997" i="8"/>
  <c r="A1997" i="8"/>
  <c r="F1996" i="8"/>
  <c r="E1996" i="8"/>
  <c r="D1996" i="8"/>
  <c r="C1996" i="8"/>
  <c r="B1996" i="8"/>
  <c r="A1996" i="8"/>
  <c r="F1995" i="8"/>
  <c r="E1995" i="8"/>
  <c r="D1995" i="8"/>
  <c r="C1995" i="8"/>
  <c r="B1995" i="8"/>
  <c r="A1995" i="8"/>
  <c r="F1994" i="8"/>
  <c r="E1994" i="8"/>
  <c r="D1994" i="8"/>
  <c r="C1994" i="8"/>
  <c r="B1994" i="8"/>
  <c r="A1994" i="8"/>
  <c r="F1993" i="8"/>
  <c r="E1993" i="8"/>
  <c r="D1993" i="8"/>
  <c r="C1993" i="8"/>
  <c r="B1993" i="8"/>
  <c r="A1993" i="8"/>
  <c r="F1992" i="8"/>
  <c r="E1992" i="8"/>
  <c r="D1992" i="8"/>
  <c r="C1992" i="8"/>
  <c r="B1992" i="8"/>
  <c r="A1992" i="8"/>
  <c r="F1991" i="8"/>
  <c r="E1991" i="8"/>
  <c r="D1991" i="8"/>
  <c r="C1991" i="8"/>
  <c r="B1991" i="8"/>
  <c r="A1991" i="8"/>
  <c r="F1990" i="8"/>
  <c r="E1990" i="8"/>
  <c r="D1990" i="8"/>
  <c r="C1990" i="8"/>
  <c r="B1990" i="8"/>
  <c r="A1990" i="8"/>
  <c r="F1989" i="8"/>
  <c r="E1989" i="8"/>
  <c r="D1989" i="8"/>
  <c r="C1989" i="8"/>
  <c r="B1989" i="8"/>
  <c r="A1989" i="8"/>
  <c r="F1988" i="8"/>
  <c r="E1988" i="8"/>
  <c r="D1988" i="8"/>
  <c r="C1988" i="8"/>
  <c r="B1988" i="8"/>
  <c r="A1988" i="8"/>
  <c r="F1987" i="8"/>
  <c r="E1987" i="8"/>
  <c r="D1987" i="8"/>
  <c r="C1987" i="8"/>
  <c r="B1987" i="8"/>
  <c r="A1987" i="8"/>
  <c r="F1986" i="8"/>
  <c r="E1986" i="8"/>
  <c r="D1986" i="8"/>
  <c r="C1986" i="8"/>
  <c r="B1986" i="8"/>
  <c r="A1986" i="8"/>
  <c r="F1985" i="8"/>
  <c r="E1985" i="8"/>
  <c r="D1985" i="8"/>
  <c r="C1985" i="8"/>
  <c r="B1985" i="8"/>
  <c r="A1985" i="8"/>
  <c r="G1985" i="8" s="1"/>
  <c r="F1984" i="8"/>
  <c r="E1984" i="8"/>
  <c r="D1984" i="8"/>
  <c r="C1984" i="8"/>
  <c r="B1984" i="8"/>
  <c r="A1984" i="8"/>
  <c r="F1983" i="8"/>
  <c r="E1983" i="8"/>
  <c r="D1983" i="8"/>
  <c r="C1983" i="8"/>
  <c r="B1983" i="8"/>
  <c r="A1983" i="8"/>
  <c r="F1982" i="8"/>
  <c r="E1982" i="8"/>
  <c r="D1982" i="8"/>
  <c r="C1982" i="8"/>
  <c r="B1982" i="8"/>
  <c r="A1982" i="8"/>
  <c r="F1981" i="8"/>
  <c r="E1981" i="8"/>
  <c r="D1981" i="8"/>
  <c r="C1981" i="8"/>
  <c r="B1981" i="8"/>
  <c r="A1981" i="8"/>
  <c r="F1980" i="8"/>
  <c r="E1980" i="8"/>
  <c r="D1980" i="8"/>
  <c r="C1980" i="8"/>
  <c r="B1980" i="8"/>
  <c r="A1980" i="8"/>
  <c r="F1979" i="8"/>
  <c r="E1979" i="8"/>
  <c r="D1979" i="8"/>
  <c r="C1979" i="8"/>
  <c r="B1979" i="8"/>
  <c r="A1979" i="8"/>
  <c r="F1978" i="8"/>
  <c r="E1978" i="8"/>
  <c r="D1978" i="8"/>
  <c r="C1978" i="8"/>
  <c r="B1978" i="8"/>
  <c r="A1978" i="8"/>
  <c r="F1977" i="8"/>
  <c r="E1977" i="8"/>
  <c r="D1977" i="8"/>
  <c r="C1977" i="8"/>
  <c r="B1977" i="8"/>
  <c r="A1977" i="8"/>
  <c r="F1976" i="8"/>
  <c r="E1976" i="8"/>
  <c r="D1976" i="8"/>
  <c r="C1976" i="8"/>
  <c r="B1976" i="8"/>
  <c r="A1976" i="8"/>
  <c r="F1975" i="8"/>
  <c r="E1975" i="8"/>
  <c r="D1975" i="8"/>
  <c r="C1975" i="8"/>
  <c r="B1975" i="8"/>
  <c r="A1975" i="8"/>
  <c r="F1974" i="8"/>
  <c r="E1974" i="8"/>
  <c r="D1974" i="8"/>
  <c r="C1974" i="8"/>
  <c r="B1974" i="8"/>
  <c r="A1974" i="8"/>
  <c r="F1973" i="8"/>
  <c r="E1973" i="8"/>
  <c r="D1973" i="8"/>
  <c r="C1973" i="8"/>
  <c r="B1973" i="8"/>
  <c r="A1973" i="8"/>
  <c r="F1972" i="8"/>
  <c r="E1972" i="8"/>
  <c r="D1972" i="8"/>
  <c r="C1972" i="8"/>
  <c r="B1972" i="8"/>
  <c r="A1972" i="8"/>
  <c r="F1971" i="8"/>
  <c r="E1971" i="8"/>
  <c r="D1971" i="8"/>
  <c r="C1971" i="8"/>
  <c r="B1971" i="8"/>
  <c r="A1971" i="8"/>
  <c r="F1970" i="8"/>
  <c r="E1970" i="8"/>
  <c r="D1970" i="8"/>
  <c r="C1970" i="8"/>
  <c r="B1970" i="8"/>
  <c r="A1970" i="8"/>
  <c r="F1969" i="8"/>
  <c r="E1969" i="8"/>
  <c r="D1969" i="8"/>
  <c r="C1969" i="8"/>
  <c r="B1969" i="8"/>
  <c r="A1969" i="8"/>
  <c r="F1968" i="8"/>
  <c r="E1968" i="8"/>
  <c r="D1968" i="8"/>
  <c r="C1968" i="8"/>
  <c r="B1968" i="8"/>
  <c r="A1968" i="8"/>
  <c r="F1967" i="8"/>
  <c r="E1967" i="8"/>
  <c r="D1967" i="8"/>
  <c r="C1967" i="8"/>
  <c r="B1967" i="8"/>
  <c r="A1967" i="8"/>
  <c r="F1966" i="8"/>
  <c r="E1966" i="8"/>
  <c r="D1966" i="8"/>
  <c r="C1966" i="8"/>
  <c r="B1966" i="8"/>
  <c r="A1966" i="8"/>
  <c r="F1965" i="8"/>
  <c r="E1965" i="8"/>
  <c r="D1965" i="8"/>
  <c r="C1965" i="8"/>
  <c r="B1965" i="8"/>
  <c r="A1965" i="8"/>
  <c r="F1964" i="8"/>
  <c r="E1964" i="8"/>
  <c r="D1964" i="8"/>
  <c r="C1964" i="8"/>
  <c r="B1964" i="8"/>
  <c r="A1964" i="8"/>
  <c r="F1963" i="8"/>
  <c r="E1963" i="8"/>
  <c r="D1963" i="8"/>
  <c r="C1963" i="8"/>
  <c r="B1963" i="8"/>
  <c r="A1963" i="8"/>
  <c r="F1962" i="8"/>
  <c r="E1962" i="8"/>
  <c r="D1962" i="8"/>
  <c r="C1962" i="8"/>
  <c r="B1962" i="8"/>
  <c r="A1962" i="8"/>
  <c r="F1961" i="8"/>
  <c r="E1961" i="8"/>
  <c r="D1961" i="8"/>
  <c r="C1961" i="8"/>
  <c r="B1961" i="8"/>
  <c r="A1961" i="8"/>
  <c r="F1960" i="8"/>
  <c r="E1960" i="8"/>
  <c r="D1960" i="8"/>
  <c r="C1960" i="8"/>
  <c r="B1960" i="8"/>
  <c r="A1960" i="8"/>
  <c r="F1959" i="8"/>
  <c r="E1959" i="8"/>
  <c r="D1959" i="8"/>
  <c r="C1959" i="8"/>
  <c r="B1959" i="8"/>
  <c r="A1959" i="8"/>
  <c r="F1958" i="8"/>
  <c r="E1958" i="8"/>
  <c r="D1958" i="8"/>
  <c r="C1958" i="8"/>
  <c r="B1958" i="8"/>
  <c r="A1958" i="8"/>
  <c r="F1957" i="8"/>
  <c r="E1957" i="8"/>
  <c r="D1957" i="8"/>
  <c r="C1957" i="8"/>
  <c r="B1957" i="8"/>
  <c r="A1957" i="8"/>
  <c r="F1956" i="8"/>
  <c r="E1956" i="8"/>
  <c r="D1956" i="8"/>
  <c r="C1956" i="8"/>
  <c r="B1956" i="8"/>
  <c r="A1956" i="8"/>
  <c r="F1955" i="8"/>
  <c r="E1955" i="8"/>
  <c r="D1955" i="8"/>
  <c r="C1955" i="8"/>
  <c r="B1955" i="8"/>
  <c r="A1955" i="8"/>
  <c r="F1954" i="8"/>
  <c r="E1954" i="8"/>
  <c r="D1954" i="8"/>
  <c r="C1954" i="8"/>
  <c r="B1954" i="8"/>
  <c r="A1954" i="8"/>
  <c r="F1953" i="8"/>
  <c r="E1953" i="8"/>
  <c r="D1953" i="8"/>
  <c r="C1953" i="8"/>
  <c r="B1953" i="8"/>
  <c r="A1953" i="8"/>
  <c r="F1952" i="8"/>
  <c r="E1952" i="8"/>
  <c r="D1952" i="8"/>
  <c r="C1952" i="8"/>
  <c r="B1952" i="8"/>
  <c r="A1952" i="8"/>
  <c r="F1951" i="8"/>
  <c r="E1951" i="8"/>
  <c r="D1951" i="8"/>
  <c r="C1951" i="8"/>
  <c r="B1951" i="8"/>
  <c r="A1951" i="8"/>
  <c r="F1950" i="8"/>
  <c r="E1950" i="8"/>
  <c r="D1950" i="8"/>
  <c r="C1950" i="8"/>
  <c r="B1950" i="8"/>
  <c r="A1950" i="8"/>
  <c r="F1949" i="8"/>
  <c r="E1949" i="8"/>
  <c r="D1949" i="8"/>
  <c r="C1949" i="8"/>
  <c r="B1949" i="8"/>
  <c r="A1949" i="8"/>
  <c r="F1948" i="8"/>
  <c r="E1948" i="8"/>
  <c r="D1948" i="8"/>
  <c r="C1948" i="8"/>
  <c r="B1948" i="8"/>
  <c r="A1948" i="8"/>
  <c r="F1947" i="8"/>
  <c r="E1947" i="8"/>
  <c r="D1947" i="8"/>
  <c r="C1947" i="8"/>
  <c r="B1947" i="8"/>
  <c r="A1947" i="8"/>
  <c r="F1946" i="8"/>
  <c r="E1946" i="8"/>
  <c r="D1946" i="8"/>
  <c r="C1946" i="8"/>
  <c r="B1946" i="8"/>
  <c r="A1946" i="8"/>
  <c r="F1945" i="8"/>
  <c r="E1945" i="8"/>
  <c r="D1945" i="8"/>
  <c r="C1945" i="8"/>
  <c r="B1945" i="8"/>
  <c r="A1945" i="8"/>
  <c r="F1944" i="8"/>
  <c r="E1944" i="8"/>
  <c r="D1944" i="8"/>
  <c r="C1944" i="8"/>
  <c r="B1944" i="8"/>
  <c r="A1944" i="8"/>
  <c r="F1943" i="8"/>
  <c r="E1943" i="8"/>
  <c r="D1943" i="8"/>
  <c r="C1943" i="8"/>
  <c r="B1943" i="8"/>
  <c r="A1943" i="8"/>
  <c r="F1942" i="8"/>
  <c r="E1942" i="8"/>
  <c r="D1942" i="8"/>
  <c r="C1942" i="8"/>
  <c r="B1942" i="8"/>
  <c r="A1942" i="8"/>
  <c r="F1941" i="8"/>
  <c r="E1941" i="8"/>
  <c r="D1941" i="8"/>
  <c r="C1941" i="8"/>
  <c r="B1941" i="8"/>
  <c r="A1941" i="8"/>
  <c r="F1940" i="8"/>
  <c r="E1940" i="8"/>
  <c r="D1940" i="8"/>
  <c r="C1940" i="8"/>
  <c r="B1940" i="8"/>
  <c r="A1940" i="8"/>
  <c r="F1939" i="8"/>
  <c r="E1939" i="8"/>
  <c r="D1939" i="8"/>
  <c r="C1939" i="8"/>
  <c r="B1939" i="8"/>
  <c r="A1939" i="8"/>
  <c r="F1938" i="8"/>
  <c r="E1938" i="8"/>
  <c r="D1938" i="8"/>
  <c r="C1938" i="8"/>
  <c r="B1938" i="8"/>
  <c r="A1938" i="8"/>
  <c r="F1937" i="8"/>
  <c r="E1937" i="8"/>
  <c r="D1937" i="8"/>
  <c r="C1937" i="8"/>
  <c r="B1937" i="8"/>
  <c r="A1937" i="8"/>
  <c r="F1936" i="8"/>
  <c r="E1936" i="8"/>
  <c r="D1936" i="8"/>
  <c r="C1936" i="8"/>
  <c r="B1936" i="8"/>
  <c r="A1936" i="8"/>
  <c r="F1935" i="8"/>
  <c r="E1935" i="8"/>
  <c r="D1935" i="8"/>
  <c r="C1935" i="8"/>
  <c r="B1935" i="8"/>
  <c r="A1935" i="8"/>
  <c r="F1934" i="8"/>
  <c r="E1934" i="8"/>
  <c r="D1934" i="8"/>
  <c r="C1934" i="8"/>
  <c r="B1934" i="8"/>
  <c r="A1934" i="8"/>
  <c r="F1933" i="8"/>
  <c r="E1933" i="8"/>
  <c r="D1933" i="8"/>
  <c r="C1933" i="8"/>
  <c r="B1933" i="8"/>
  <c r="A1933" i="8"/>
  <c r="F1932" i="8"/>
  <c r="E1932" i="8"/>
  <c r="D1932" i="8"/>
  <c r="C1932" i="8"/>
  <c r="B1932" i="8"/>
  <c r="A1932" i="8"/>
  <c r="F1931" i="8"/>
  <c r="E1931" i="8"/>
  <c r="D1931" i="8"/>
  <c r="C1931" i="8"/>
  <c r="B1931" i="8"/>
  <c r="A1931" i="8"/>
  <c r="F1930" i="8"/>
  <c r="E1930" i="8"/>
  <c r="D1930" i="8"/>
  <c r="C1930" i="8"/>
  <c r="B1930" i="8"/>
  <c r="A1930" i="8"/>
  <c r="F1929" i="8"/>
  <c r="E1929" i="8"/>
  <c r="D1929" i="8"/>
  <c r="C1929" i="8"/>
  <c r="B1929" i="8"/>
  <c r="A1929" i="8"/>
  <c r="F1928" i="8"/>
  <c r="E1928" i="8"/>
  <c r="D1928" i="8"/>
  <c r="C1928" i="8"/>
  <c r="B1928" i="8"/>
  <c r="A1928" i="8"/>
  <c r="F1927" i="8"/>
  <c r="E1927" i="8"/>
  <c r="D1927" i="8"/>
  <c r="C1927" i="8"/>
  <c r="B1927" i="8"/>
  <c r="A1927" i="8"/>
  <c r="F1926" i="8"/>
  <c r="E1926" i="8"/>
  <c r="D1926" i="8"/>
  <c r="C1926" i="8"/>
  <c r="B1926" i="8"/>
  <c r="A1926" i="8"/>
  <c r="F1925" i="8"/>
  <c r="G1925" i="8" s="1"/>
  <c r="E1925" i="8"/>
  <c r="D1925" i="8"/>
  <c r="C1925" i="8"/>
  <c r="B1925" i="8"/>
  <c r="A1925" i="8"/>
  <c r="F1924" i="8"/>
  <c r="E1924" i="8"/>
  <c r="D1924" i="8"/>
  <c r="C1924" i="8"/>
  <c r="B1924" i="8"/>
  <c r="A1924" i="8"/>
  <c r="F1923" i="8"/>
  <c r="E1923" i="8"/>
  <c r="D1923" i="8"/>
  <c r="C1923" i="8"/>
  <c r="B1923" i="8"/>
  <c r="A1923" i="8"/>
  <c r="F1922" i="8"/>
  <c r="E1922" i="8"/>
  <c r="D1922" i="8"/>
  <c r="C1922" i="8"/>
  <c r="B1922" i="8"/>
  <c r="A1922" i="8"/>
  <c r="F1921" i="8"/>
  <c r="E1921" i="8"/>
  <c r="D1921" i="8"/>
  <c r="C1921" i="8"/>
  <c r="B1921" i="8"/>
  <c r="A1921" i="8"/>
  <c r="F1920" i="8"/>
  <c r="E1920" i="8"/>
  <c r="D1920" i="8"/>
  <c r="C1920" i="8"/>
  <c r="B1920" i="8"/>
  <c r="A1920" i="8"/>
  <c r="F1919" i="8"/>
  <c r="E1919" i="8"/>
  <c r="D1919" i="8"/>
  <c r="C1919" i="8"/>
  <c r="B1919" i="8"/>
  <c r="A1919" i="8"/>
  <c r="F1918" i="8"/>
  <c r="E1918" i="8"/>
  <c r="D1918" i="8"/>
  <c r="C1918" i="8"/>
  <c r="B1918" i="8"/>
  <c r="A1918" i="8"/>
  <c r="F1917" i="8"/>
  <c r="E1917" i="8"/>
  <c r="D1917" i="8"/>
  <c r="C1917" i="8"/>
  <c r="B1917" i="8"/>
  <c r="A1917" i="8"/>
  <c r="F1916" i="8"/>
  <c r="E1916" i="8"/>
  <c r="D1916" i="8"/>
  <c r="C1916" i="8"/>
  <c r="B1916" i="8"/>
  <c r="A1916" i="8"/>
  <c r="F1915" i="8"/>
  <c r="E1915" i="8"/>
  <c r="D1915" i="8"/>
  <c r="C1915" i="8"/>
  <c r="B1915" i="8"/>
  <c r="A1915" i="8"/>
  <c r="F1914" i="8"/>
  <c r="E1914" i="8"/>
  <c r="D1914" i="8"/>
  <c r="C1914" i="8"/>
  <c r="B1914" i="8"/>
  <c r="A1914" i="8"/>
  <c r="F1913" i="8"/>
  <c r="E1913" i="8"/>
  <c r="D1913" i="8"/>
  <c r="C1913" i="8"/>
  <c r="B1913" i="8"/>
  <c r="A1913" i="8"/>
  <c r="F1912" i="8"/>
  <c r="E1912" i="8"/>
  <c r="D1912" i="8"/>
  <c r="C1912" i="8"/>
  <c r="B1912" i="8"/>
  <c r="A1912" i="8"/>
  <c r="F1911" i="8"/>
  <c r="E1911" i="8"/>
  <c r="D1911" i="8"/>
  <c r="C1911" i="8"/>
  <c r="B1911" i="8"/>
  <c r="A1911" i="8"/>
  <c r="F1910" i="8"/>
  <c r="E1910" i="8"/>
  <c r="D1910" i="8"/>
  <c r="C1910" i="8"/>
  <c r="B1910" i="8"/>
  <c r="A1910" i="8"/>
  <c r="F1909" i="8"/>
  <c r="E1909" i="8"/>
  <c r="D1909" i="8"/>
  <c r="C1909" i="8"/>
  <c r="B1909" i="8"/>
  <c r="A1909" i="8"/>
  <c r="F1908" i="8"/>
  <c r="E1908" i="8"/>
  <c r="D1908" i="8"/>
  <c r="C1908" i="8"/>
  <c r="B1908" i="8"/>
  <c r="A1908" i="8"/>
  <c r="F1907" i="8"/>
  <c r="E1907" i="8"/>
  <c r="D1907" i="8"/>
  <c r="C1907" i="8"/>
  <c r="B1907" i="8"/>
  <c r="A1907" i="8"/>
  <c r="F1906" i="8"/>
  <c r="E1906" i="8"/>
  <c r="D1906" i="8"/>
  <c r="C1906" i="8"/>
  <c r="B1906" i="8"/>
  <c r="A1906" i="8"/>
  <c r="F1905" i="8"/>
  <c r="E1905" i="8"/>
  <c r="D1905" i="8"/>
  <c r="C1905" i="8"/>
  <c r="B1905" i="8"/>
  <c r="A1905" i="8"/>
  <c r="F1904" i="8"/>
  <c r="E1904" i="8"/>
  <c r="D1904" i="8"/>
  <c r="C1904" i="8"/>
  <c r="B1904" i="8"/>
  <c r="A1904" i="8"/>
  <c r="F1903" i="8"/>
  <c r="E1903" i="8"/>
  <c r="D1903" i="8"/>
  <c r="C1903" i="8"/>
  <c r="B1903" i="8"/>
  <c r="A1903" i="8"/>
  <c r="F1902" i="8"/>
  <c r="E1902" i="8"/>
  <c r="D1902" i="8"/>
  <c r="C1902" i="8"/>
  <c r="B1902" i="8"/>
  <c r="A1902" i="8"/>
  <c r="F1901" i="8"/>
  <c r="E1901" i="8"/>
  <c r="D1901" i="8"/>
  <c r="C1901" i="8"/>
  <c r="B1901" i="8"/>
  <c r="A1901" i="8"/>
  <c r="F1900" i="8"/>
  <c r="E1900" i="8"/>
  <c r="D1900" i="8"/>
  <c r="C1900" i="8"/>
  <c r="B1900" i="8"/>
  <c r="A1900" i="8"/>
  <c r="F1899" i="8"/>
  <c r="E1899" i="8"/>
  <c r="D1899" i="8"/>
  <c r="C1899" i="8"/>
  <c r="B1899" i="8"/>
  <c r="A1899" i="8"/>
  <c r="F1898" i="8"/>
  <c r="E1898" i="8"/>
  <c r="D1898" i="8"/>
  <c r="C1898" i="8"/>
  <c r="B1898" i="8"/>
  <c r="A1898" i="8"/>
  <c r="F1897" i="8"/>
  <c r="E1897" i="8"/>
  <c r="D1897" i="8"/>
  <c r="C1897" i="8"/>
  <c r="B1897" i="8"/>
  <c r="A1897" i="8"/>
  <c r="F1896" i="8"/>
  <c r="E1896" i="8"/>
  <c r="D1896" i="8"/>
  <c r="C1896" i="8"/>
  <c r="B1896" i="8"/>
  <c r="A1896" i="8"/>
  <c r="F1895" i="8"/>
  <c r="E1895" i="8"/>
  <c r="D1895" i="8"/>
  <c r="C1895" i="8"/>
  <c r="B1895" i="8"/>
  <c r="A1895" i="8"/>
  <c r="F1894" i="8"/>
  <c r="E1894" i="8"/>
  <c r="D1894" i="8"/>
  <c r="C1894" i="8"/>
  <c r="B1894" i="8"/>
  <c r="A1894" i="8"/>
  <c r="F1893" i="8"/>
  <c r="E1893" i="8"/>
  <c r="D1893" i="8"/>
  <c r="C1893" i="8"/>
  <c r="B1893" i="8"/>
  <c r="A1893" i="8"/>
  <c r="F1892" i="8"/>
  <c r="E1892" i="8"/>
  <c r="D1892" i="8"/>
  <c r="C1892" i="8"/>
  <c r="B1892" i="8"/>
  <c r="A1892" i="8"/>
  <c r="F1891" i="8"/>
  <c r="E1891" i="8"/>
  <c r="D1891" i="8"/>
  <c r="C1891" i="8"/>
  <c r="B1891" i="8"/>
  <c r="A1891" i="8"/>
  <c r="F1890" i="8"/>
  <c r="E1890" i="8"/>
  <c r="D1890" i="8"/>
  <c r="C1890" i="8"/>
  <c r="B1890" i="8"/>
  <c r="A1890" i="8"/>
  <c r="F1889" i="8"/>
  <c r="E1889" i="8"/>
  <c r="D1889" i="8"/>
  <c r="C1889" i="8"/>
  <c r="B1889" i="8"/>
  <c r="A1889" i="8"/>
  <c r="F1888" i="8"/>
  <c r="E1888" i="8"/>
  <c r="D1888" i="8"/>
  <c r="C1888" i="8"/>
  <c r="B1888" i="8"/>
  <c r="A1888" i="8"/>
  <c r="F1887" i="8"/>
  <c r="E1887" i="8"/>
  <c r="D1887" i="8"/>
  <c r="C1887" i="8"/>
  <c r="B1887" i="8"/>
  <c r="A1887" i="8"/>
  <c r="F1886" i="8"/>
  <c r="E1886" i="8"/>
  <c r="D1886" i="8"/>
  <c r="C1886" i="8"/>
  <c r="B1886" i="8"/>
  <c r="A1886" i="8"/>
  <c r="F1885" i="8"/>
  <c r="E1885" i="8"/>
  <c r="D1885" i="8"/>
  <c r="C1885" i="8"/>
  <c r="B1885" i="8"/>
  <c r="A1885" i="8"/>
  <c r="F1884" i="8"/>
  <c r="E1884" i="8"/>
  <c r="D1884" i="8"/>
  <c r="C1884" i="8"/>
  <c r="B1884" i="8"/>
  <c r="A1884" i="8"/>
  <c r="F1883" i="8"/>
  <c r="E1883" i="8"/>
  <c r="D1883" i="8"/>
  <c r="C1883" i="8"/>
  <c r="B1883" i="8"/>
  <c r="A1883" i="8"/>
  <c r="F1882" i="8"/>
  <c r="E1882" i="8"/>
  <c r="D1882" i="8"/>
  <c r="C1882" i="8"/>
  <c r="B1882" i="8"/>
  <c r="A1882" i="8"/>
  <c r="F1881" i="8"/>
  <c r="E1881" i="8"/>
  <c r="D1881" i="8"/>
  <c r="C1881" i="8"/>
  <c r="B1881" i="8"/>
  <c r="A1881" i="8"/>
  <c r="F1880" i="8"/>
  <c r="E1880" i="8"/>
  <c r="D1880" i="8"/>
  <c r="C1880" i="8"/>
  <c r="B1880" i="8"/>
  <c r="A1880" i="8"/>
  <c r="F1879" i="8"/>
  <c r="E1879" i="8"/>
  <c r="D1879" i="8"/>
  <c r="C1879" i="8"/>
  <c r="B1879" i="8"/>
  <c r="A1879" i="8"/>
  <c r="F1878" i="8"/>
  <c r="E1878" i="8"/>
  <c r="D1878" i="8"/>
  <c r="C1878" i="8"/>
  <c r="B1878" i="8"/>
  <c r="A1878" i="8"/>
  <c r="F1877" i="8"/>
  <c r="G1877" i="8" s="1"/>
  <c r="E1877" i="8"/>
  <c r="D1877" i="8"/>
  <c r="C1877" i="8"/>
  <c r="B1877" i="8"/>
  <c r="A1877" i="8"/>
  <c r="F1876" i="8"/>
  <c r="E1876" i="8"/>
  <c r="D1876" i="8"/>
  <c r="C1876" i="8"/>
  <c r="B1876" i="8"/>
  <c r="A1876" i="8"/>
  <c r="F1875" i="8"/>
  <c r="E1875" i="8"/>
  <c r="D1875" i="8"/>
  <c r="C1875" i="8"/>
  <c r="B1875" i="8"/>
  <c r="A1875" i="8"/>
  <c r="F1874" i="8"/>
  <c r="E1874" i="8"/>
  <c r="D1874" i="8"/>
  <c r="C1874" i="8"/>
  <c r="B1874" i="8"/>
  <c r="A1874" i="8"/>
  <c r="F1873" i="8"/>
  <c r="E1873" i="8"/>
  <c r="D1873" i="8"/>
  <c r="C1873" i="8"/>
  <c r="B1873" i="8"/>
  <c r="A1873" i="8"/>
  <c r="F1872" i="8"/>
  <c r="E1872" i="8"/>
  <c r="D1872" i="8"/>
  <c r="C1872" i="8"/>
  <c r="B1872" i="8"/>
  <c r="A1872" i="8"/>
  <c r="F1871" i="8"/>
  <c r="E1871" i="8"/>
  <c r="D1871" i="8"/>
  <c r="C1871" i="8"/>
  <c r="B1871" i="8"/>
  <c r="A1871" i="8"/>
  <c r="F1870" i="8"/>
  <c r="E1870" i="8"/>
  <c r="D1870" i="8"/>
  <c r="C1870" i="8"/>
  <c r="B1870" i="8"/>
  <c r="A1870" i="8"/>
  <c r="F1869" i="8"/>
  <c r="E1869" i="8"/>
  <c r="D1869" i="8"/>
  <c r="C1869" i="8"/>
  <c r="B1869" i="8"/>
  <c r="A1869" i="8"/>
  <c r="F1868" i="8"/>
  <c r="E1868" i="8"/>
  <c r="D1868" i="8"/>
  <c r="C1868" i="8"/>
  <c r="B1868" i="8"/>
  <c r="A1868" i="8"/>
  <c r="F1867" i="8"/>
  <c r="G1867" i="8" s="1"/>
  <c r="E1867" i="8"/>
  <c r="D1867" i="8"/>
  <c r="C1867" i="8"/>
  <c r="B1867" i="8"/>
  <c r="A1867" i="8"/>
  <c r="F1866" i="8"/>
  <c r="E1866" i="8"/>
  <c r="D1866" i="8"/>
  <c r="C1866" i="8"/>
  <c r="B1866" i="8"/>
  <c r="A1866" i="8"/>
  <c r="F1865" i="8"/>
  <c r="E1865" i="8"/>
  <c r="D1865" i="8"/>
  <c r="C1865" i="8"/>
  <c r="B1865" i="8"/>
  <c r="A1865" i="8"/>
  <c r="F1864" i="8"/>
  <c r="E1864" i="8"/>
  <c r="D1864" i="8"/>
  <c r="C1864" i="8"/>
  <c r="B1864" i="8"/>
  <c r="A1864" i="8"/>
  <c r="F1863" i="8"/>
  <c r="E1863" i="8"/>
  <c r="D1863" i="8"/>
  <c r="C1863" i="8"/>
  <c r="B1863" i="8"/>
  <c r="A1863" i="8"/>
  <c r="F1862" i="8"/>
  <c r="E1862" i="8"/>
  <c r="D1862" i="8"/>
  <c r="C1862" i="8"/>
  <c r="B1862" i="8"/>
  <c r="A1862" i="8"/>
  <c r="F1861" i="8"/>
  <c r="G1861" i="8" s="1"/>
  <c r="E1861" i="8"/>
  <c r="D1861" i="8"/>
  <c r="C1861" i="8"/>
  <c r="B1861" i="8"/>
  <c r="A1861" i="8"/>
  <c r="F1860" i="8"/>
  <c r="G1860" i="8" s="1"/>
  <c r="E1860" i="8"/>
  <c r="D1860" i="8"/>
  <c r="C1860" i="8"/>
  <c r="B1860" i="8"/>
  <c r="A1860" i="8"/>
  <c r="F1859" i="8"/>
  <c r="E1859" i="8"/>
  <c r="D1859" i="8"/>
  <c r="C1859" i="8"/>
  <c r="B1859" i="8"/>
  <c r="A1859" i="8"/>
  <c r="F1858" i="8"/>
  <c r="E1858" i="8"/>
  <c r="D1858" i="8"/>
  <c r="C1858" i="8"/>
  <c r="B1858" i="8"/>
  <c r="A1858" i="8"/>
  <c r="G1858" i="8" s="1"/>
  <c r="F1857" i="8"/>
  <c r="E1857" i="8"/>
  <c r="D1857" i="8"/>
  <c r="C1857" i="8"/>
  <c r="B1857" i="8"/>
  <c r="A1857" i="8"/>
  <c r="F1856" i="8"/>
  <c r="E1856" i="8"/>
  <c r="D1856" i="8"/>
  <c r="C1856" i="8"/>
  <c r="B1856" i="8"/>
  <c r="A1856" i="8"/>
  <c r="F1855" i="8"/>
  <c r="E1855" i="8"/>
  <c r="D1855" i="8"/>
  <c r="C1855" i="8"/>
  <c r="B1855" i="8"/>
  <c r="A1855" i="8"/>
  <c r="F1854" i="8"/>
  <c r="E1854" i="8"/>
  <c r="D1854" i="8"/>
  <c r="C1854" i="8"/>
  <c r="B1854" i="8"/>
  <c r="A1854" i="8"/>
  <c r="F1853" i="8"/>
  <c r="E1853" i="8"/>
  <c r="D1853" i="8"/>
  <c r="C1853" i="8"/>
  <c r="B1853" i="8"/>
  <c r="A1853" i="8"/>
  <c r="F1852" i="8"/>
  <c r="E1852" i="8"/>
  <c r="D1852" i="8"/>
  <c r="C1852" i="8"/>
  <c r="B1852" i="8"/>
  <c r="A1852" i="8"/>
  <c r="F1851" i="8"/>
  <c r="E1851" i="8"/>
  <c r="D1851" i="8"/>
  <c r="C1851" i="8"/>
  <c r="B1851" i="8"/>
  <c r="A1851" i="8"/>
  <c r="F1850" i="8"/>
  <c r="E1850" i="8"/>
  <c r="D1850" i="8"/>
  <c r="C1850" i="8"/>
  <c r="B1850" i="8"/>
  <c r="A1850" i="8"/>
  <c r="F1849" i="8"/>
  <c r="E1849" i="8"/>
  <c r="D1849" i="8"/>
  <c r="C1849" i="8"/>
  <c r="B1849" i="8"/>
  <c r="A1849" i="8"/>
  <c r="F1848" i="8"/>
  <c r="E1848" i="8"/>
  <c r="D1848" i="8"/>
  <c r="C1848" i="8"/>
  <c r="B1848" i="8"/>
  <c r="A1848" i="8"/>
  <c r="F1847" i="8"/>
  <c r="E1847" i="8"/>
  <c r="D1847" i="8"/>
  <c r="C1847" i="8"/>
  <c r="B1847" i="8"/>
  <c r="A1847" i="8"/>
  <c r="F1846" i="8"/>
  <c r="E1846" i="8"/>
  <c r="D1846" i="8"/>
  <c r="C1846" i="8"/>
  <c r="B1846" i="8"/>
  <c r="A1846" i="8"/>
  <c r="F1845" i="8"/>
  <c r="E1845" i="8"/>
  <c r="D1845" i="8"/>
  <c r="C1845" i="8"/>
  <c r="B1845" i="8"/>
  <c r="A1845" i="8"/>
  <c r="F1844" i="8"/>
  <c r="E1844" i="8"/>
  <c r="D1844" i="8"/>
  <c r="C1844" i="8"/>
  <c r="B1844" i="8"/>
  <c r="A1844" i="8"/>
  <c r="F1843" i="8"/>
  <c r="E1843" i="8"/>
  <c r="D1843" i="8"/>
  <c r="C1843" i="8"/>
  <c r="B1843" i="8"/>
  <c r="A1843" i="8"/>
  <c r="F1842" i="8"/>
  <c r="E1842" i="8"/>
  <c r="D1842" i="8"/>
  <c r="C1842" i="8"/>
  <c r="B1842" i="8"/>
  <c r="A1842" i="8"/>
  <c r="F1841" i="8"/>
  <c r="E1841" i="8"/>
  <c r="D1841" i="8"/>
  <c r="C1841" i="8"/>
  <c r="B1841" i="8"/>
  <c r="A1841" i="8"/>
  <c r="F1840" i="8"/>
  <c r="E1840" i="8"/>
  <c r="D1840" i="8"/>
  <c r="C1840" i="8"/>
  <c r="B1840" i="8"/>
  <c r="A1840" i="8"/>
  <c r="F1839" i="8"/>
  <c r="E1839" i="8"/>
  <c r="D1839" i="8"/>
  <c r="C1839" i="8"/>
  <c r="B1839" i="8"/>
  <c r="A1839" i="8"/>
  <c r="F1838" i="8"/>
  <c r="E1838" i="8"/>
  <c r="D1838" i="8"/>
  <c r="C1838" i="8"/>
  <c r="B1838" i="8"/>
  <c r="A1838" i="8"/>
  <c r="F1837" i="8"/>
  <c r="E1837" i="8"/>
  <c r="D1837" i="8"/>
  <c r="C1837" i="8"/>
  <c r="B1837" i="8"/>
  <c r="A1837" i="8"/>
  <c r="F1836" i="8"/>
  <c r="E1836" i="8"/>
  <c r="D1836" i="8"/>
  <c r="C1836" i="8"/>
  <c r="B1836" i="8"/>
  <c r="A1836" i="8"/>
  <c r="F1835" i="8"/>
  <c r="E1835" i="8"/>
  <c r="D1835" i="8"/>
  <c r="C1835" i="8"/>
  <c r="B1835" i="8"/>
  <c r="A1835" i="8"/>
  <c r="F1834" i="8"/>
  <c r="E1834" i="8"/>
  <c r="D1834" i="8"/>
  <c r="C1834" i="8"/>
  <c r="B1834" i="8"/>
  <c r="A1834" i="8"/>
  <c r="F1833" i="8"/>
  <c r="E1833" i="8"/>
  <c r="D1833" i="8"/>
  <c r="C1833" i="8"/>
  <c r="B1833" i="8"/>
  <c r="A1833" i="8"/>
  <c r="F1832" i="8"/>
  <c r="E1832" i="8"/>
  <c r="D1832" i="8"/>
  <c r="C1832" i="8"/>
  <c r="B1832" i="8"/>
  <c r="A1832" i="8"/>
  <c r="F1831" i="8"/>
  <c r="E1831" i="8"/>
  <c r="D1831" i="8"/>
  <c r="C1831" i="8"/>
  <c r="B1831" i="8"/>
  <c r="A1831" i="8"/>
  <c r="F1830" i="8"/>
  <c r="E1830" i="8"/>
  <c r="D1830" i="8"/>
  <c r="C1830" i="8"/>
  <c r="B1830" i="8"/>
  <c r="A1830" i="8"/>
  <c r="F1829" i="8"/>
  <c r="E1829" i="8"/>
  <c r="D1829" i="8"/>
  <c r="C1829" i="8"/>
  <c r="B1829" i="8"/>
  <c r="A1829" i="8"/>
  <c r="F1828" i="8"/>
  <c r="E1828" i="8"/>
  <c r="D1828" i="8"/>
  <c r="C1828" i="8"/>
  <c r="B1828" i="8"/>
  <c r="A1828" i="8"/>
  <c r="F1827" i="8"/>
  <c r="E1827" i="8"/>
  <c r="D1827" i="8"/>
  <c r="C1827" i="8"/>
  <c r="B1827" i="8"/>
  <c r="A1827" i="8"/>
  <c r="F1826" i="8"/>
  <c r="E1826" i="8"/>
  <c r="D1826" i="8"/>
  <c r="C1826" i="8"/>
  <c r="B1826" i="8"/>
  <c r="A1826" i="8"/>
  <c r="F1825" i="8"/>
  <c r="E1825" i="8"/>
  <c r="D1825" i="8"/>
  <c r="C1825" i="8"/>
  <c r="B1825" i="8"/>
  <c r="A1825" i="8"/>
  <c r="F1824" i="8"/>
  <c r="E1824" i="8"/>
  <c r="D1824" i="8"/>
  <c r="C1824" i="8"/>
  <c r="B1824" i="8"/>
  <c r="A1824" i="8"/>
  <c r="F1823" i="8"/>
  <c r="E1823" i="8"/>
  <c r="D1823" i="8"/>
  <c r="C1823" i="8"/>
  <c r="B1823" i="8"/>
  <c r="A1823" i="8"/>
  <c r="F1822" i="8"/>
  <c r="E1822" i="8"/>
  <c r="D1822" i="8"/>
  <c r="C1822" i="8"/>
  <c r="B1822" i="8"/>
  <c r="A1822" i="8"/>
  <c r="F1821" i="8"/>
  <c r="E1821" i="8"/>
  <c r="D1821" i="8"/>
  <c r="C1821" i="8"/>
  <c r="B1821" i="8"/>
  <c r="A1821" i="8"/>
  <c r="F1820" i="8"/>
  <c r="E1820" i="8"/>
  <c r="D1820" i="8"/>
  <c r="C1820" i="8"/>
  <c r="B1820" i="8"/>
  <c r="A1820" i="8"/>
  <c r="F1819" i="8"/>
  <c r="G1819" i="8" s="1"/>
  <c r="E1819" i="8"/>
  <c r="D1819" i="8"/>
  <c r="C1819" i="8"/>
  <c r="B1819" i="8"/>
  <c r="A1819" i="8"/>
  <c r="F1818" i="8"/>
  <c r="E1818" i="8"/>
  <c r="D1818" i="8"/>
  <c r="C1818" i="8"/>
  <c r="B1818" i="8"/>
  <c r="A1818" i="8"/>
  <c r="F1817" i="8"/>
  <c r="E1817" i="8"/>
  <c r="D1817" i="8"/>
  <c r="C1817" i="8"/>
  <c r="B1817" i="8"/>
  <c r="A1817" i="8"/>
  <c r="F1816" i="8"/>
  <c r="E1816" i="8"/>
  <c r="D1816" i="8"/>
  <c r="C1816" i="8"/>
  <c r="B1816" i="8"/>
  <c r="A1816" i="8"/>
  <c r="F1815" i="8"/>
  <c r="E1815" i="8"/>
  <c r="D1815" i="8"/>
  <c r="C1815" i="8"/>
  <c r="B1815" i="8"/>
  <c r="A1815" i="8"/>
  <c r="F1814" i="8"/>
  <c r="E1814" i="8"/>
  <c r="D1814" i="8"/>
  <c r="C1814" i="8"/>
  <c r="B1814" i="8"/>
  <c r="A1814" i="8"/>
  <c r="F1813" i="8"/>
  <c r="E1813" i="8"/>
  <c r="D1813" i="8"/>
  <c r="C1813" i="8"/>
  <c r="B1813" i="8"/>
  <c r="A1813" i="8"/>
  <c r="F1812" i="8"/>
  <c r="E1812" i="8"/>
  <c r="D1812" i="8"/>
  <c r="C1812" i="8"/>
  <c r="B1812" i="8"/>
  <c r="A1812" i="8"/>
  <c r="F1811" i="8"/>
  <c r="E1811" i="8"/>
  <c r="D1811" i="8"/>
  <c r="C1811" i="8"/>
  <c r="B1811" i="8"/>
  <c r="A1811" i="8"/>
  <c r="F1810" i="8"/>
  <c r="E1810" i="8"/>
  <c r="D1810" i="8"/>
  <c r="C1810" i="8"/>
  <c r="B1810" i="8"/>
  <c r="A1810" i="8"/>
  <c r="F1809" i="8"/>
  <c r="E1809" i="8"/>
  <c r="D1809" i="8"/>
  <c r="C1809" i="8"/>
  <c r="B1809" i="8"/>
  <c r="A1809" i="8"/>
  <c r="F1808" i="8"/>
  <c r="E1808" i="8"/>
  <c r="D1808" i="8"/>
  <c r="C1808" i="8"/>
  <c r="B1808" i="8"/>
  <c r="A1808" i="8"/>
  <c r="F1807" i="8"/>
  <c r="G1807" i="8" s="1"/>
  <c r="E1807" i="8"/>
  <c r="D1807" i="8"/>
  <c r="C1807" i="8"/>
  <c r="B1807" i="8"/>
  <c r="A1807" i="8"/>
  <c r="F1806" i="8"/>
  <c r="E1806" i="8"/>
  <c r="D1806" i="8"/>
  <c r="C1806" i="8"/>
  <c r="B1806" i="8"/>
  <c r="A1806" i="8"/>
  <c r="F1805" i="8"/>
  <c r="E1805" i="8"/>
  <c r="D1805" i="8"/>
  <c r="C1805" i="8"/>
  <c r="B1805" i="8"/>
  <c r="A1805" i="8"/>
  <c r="F1804" i="8"/>
  <c r="E1804" i="8"/>
  <c r="D1804" i="8"/>
  <c r="C1804" i="8"/>
  <c r="B1804" i="8"/>
  <c r="A1804" i="8"/>
  <c r="F1803" i="8"/>
  <c r="G1803" i="8" s="1"/>
  <c r="E1803" i="8"/>
  <c r="D1803" i="8"/>
  <c r="C1803" i="8"/>
  <c r="B1803" i="8"/>
  <c r="A1803" i="8"/>
  <c r="F1802" i="8"/>
  <c r="G1802" i="8" s="1"/>
  <c r="E1802" i="8"/>
  <c r="D1802" i="8"/>
  <c r="C1802" i="8"/>
  <c r="B1802" i="8"/>
  <c r="A1802" i="8"/>
  <c r="F1801" i="8"/>
  <c r="E1801" i="8"/>
  <c r="D1801" i="8"/>
  <c r="C1801" i="8"/>
  <c r="B1801" i="8"/>
  <c r="A1801" i="8"/>
  <c r="F1800" i="8"/>
  <c r="G1800" i="8" s="1"/>
  <c r="E1800" i="8"/>
  <c r="D1800" i="8"/>
  <c r="C1800" i="8"/>
  <c r="B1800" i="8"/>
  <c r="A1800" i="8"/>
  <c r="F1799" i="8"/>
  <c r="E1799" i="8"/>
  <c r="D1799" i="8"/>
  <c r="C1799" i="8"/>
  <c r="B1799" i="8"/>
  <c r="A1799" i="8"/>
  <c r="F1798" i="8"/>
  <c r="G1798" i="8" s="1"/>
  <c r="E1798" i="8"/>
  <c r="D1798" i="8"/>
  <c r="C1798" i="8"/>
  <c r="B1798" i="8"/>
  <c r="A1798" i="8"/>
  <c r="F1797" i="8"/>
  <c r="E1797" i="8"/>
  <c r="D1797" i="8"/>
  <c r="C1797" i="8"/>
  <c r="B1797" i="8"/>
  <c r="A1797" i="8"/>
  <c r="F1796" i="8"/>
  <c r="G1796" i="8" s="1"/>
  <c r="E1796" i="8"/>
  <c r="D1796" i="8"/>
  <c r="C1796" i="8"/>
  <c r="B1796" i="8"/>
  <c r="A1796" i="8"/>
  <c r="F1795" i="8"/>
  <c r="E1795" i="8"/>
  <c r="D1795" i="8"/>
  <c r="C1795" i="8"/>
  <c r="B1795" i="8"/>
  <c r="A1795" i="8"/>
  <c r="G1794" i="8"/>
  <c r="F1794" i="8"/>
  <c r="E1794" i="8"/>
  <c r="D1794" i="8"/>
  <c r="C1794" i="8"/>
  <c r="A1794" i="8"/>
  <c r="F1793" i="8"/>
  <c r="E1793" i="8"/>
  <c r="D1793" i="8"/>
  <c r="C1793" i="8"/>
  <c r="B1793" i="8"/>
  <c r="A1793" i="8"/>
  <c r="G1792" i="8"/>
  <c r="F1792" i="8"/>
  <c r="E1792" i="8"/>
  <c r="D1792" i="8"/>
  <c r="C1792" i="8"/>
  <c r="B1792" i="8"/>
  <c r="A1792" i="8"/>
  <c r="F1791" i="8"/>
  <c r="E1791" i="8"/>
  <c r="D1791" i="8"/>
  <c r="C1791" i="8"/>
  <c r="B1791" i="8"/>
  <c r="A1791" i="8"/>
  <c r="F1790" i="8"/>
  <c r="E1790" i="8"/>
  <c r="D1790" i="8"/>
  <c r="C1790" i="8"/>
  <c r="B1790" i="8"/>
  <c r="A1790" i="8"/>
  <c r="F1789" i="8"/>
  <c r="E1789" i="8"/>
  <c r="D1789" i="8"/>
  <c r="C1789" i="8"/>
  <c r="B1789" i="8"/>
  <c r="A1789" i="8"/>
  <c r="F1788" i="8"/>
  <c r="E1788" i="8"/>
  <c r="D1788" i="8"/>
  <c r="C1788" i="8"/>
  <c r="B1788" i="8"/>
  <c r="A1788" i="8"/>
  <c r="F1787" i="8"/>
  <c r="E1787" i="8"/>
  <c r="D1787" i="8"/>
  <c r="C1787" i="8"/>
  <c r="B1787" i="8"/>
  <c r="A1787" i="8"/>
  <c r="F1786" i="8"/>
  <c r="E1786" i="8"/>
  <c r="D1786" i="8"/>
  <c r="C1786" i="8"/>
  <c r="B1786" i="8"/>
  <c r="A1786" i="8"/>
  <c r="F1785" i="8"/>
  <c r="E1785" i="8"/>
  <c r="D1785" i="8"/>
  <c r="C1785" i="8"/>
  <c r="B1785" i="8"/>
  <c r="A1785" i="8"/>
  <c r="F1784" i="8"/>
  <c r="E1784" i="8"/>
  <c r="D1784" i="8"/>
  <c r="C1784" i="8"/>
  <c r="B1784" i="8"/>
  <c r="A1784" i="8"/>
  <c r="F1783" i="8"/>
  <c r="E1783" i="8"/>
  <c r="D1783" i="8"/>
  <c r="C1783" i="8"/>
  <c r="B1783" i="8"/>
  <c r="A1783" i="8"/>
  <c r="F1782" i="8"/>
  <c r="E1782" i="8"/>
  <c r="D1782" i="8"/>
  <c r="C1782" i="8"/>
  <c r="B1782" i="8"/>
  <c r="A1782" i="8"/>
  <c r="F1781" i="8"/>
  <c r="E1781" i="8"/>
  <c r="D1781" i="8"/>
  <c r="C1781" i="8"/>
  <c r="B1781" i="8"/>
  <c r="A1781" i="8"/>
  <c r="F1780" i="8"/>
  <c r="E1780" i="8"/>
  <c r="D1780" i="8"/>
  <c r="C1780" i="8"/>
  <c r="B1780" i="8"/>
  <c r="A1780" i="8"/>
  <c r="F1779" i="8"/>
  <c r="E1779" i="8"/>
  <c r="D1779" i="8"/>
  <c r="C1779" i="8"/>
  <c r="B1779" i="8"/>
  <c r="A1779" i="8"/>
  <c r="F1778" i="8"/>
  <c r="E1778" i="8"/>
  <c r="D1778" i="8"/>
  <c r="C1778" i="8"/>
  <c r="B1778" i="8"/>
  <c r="A1778" i="8"/>
  <c r="F1777" i="8"/>
  <c r="E1777" i="8"/>
  <c r="D1777" i="8"/>
  <c r="C1777" i="8"/>
  <c r="B1777" i="8"/>
  <c r="A1777" i="8"/>
  <c r="F1776" i="8"/>
  <c r="E1776" i="8"/>
  <c r="D1776" i="8"/>
  <c r="C1776" i="8"/>
  <c r="B1776" i="8"/>
  <c r="A1776" i="8"/>
  <c r="F1775" i="8"/>
  <c r="E1775" i="8"/>
  <c r="D1775" i="8"/>
  <c r="C1775" i="8"/>
  <c r="B1775" i="8"/>
  <c r="A1775" i="8"/>
  <c r="F1774" i="8"/>
  <c r="E1774" i="8"/>
  <c r="D1774" i="8"/>
  <c r="C1774" i="8"/>
  <c r="B1774" i="8"/>
  <c r="A1774" i="8"/>
  <c r="F1773" i="8"/>
  <c r="E1773" i="8"/>
  <c r="D1773" i="8"/>
  <c r="C1773" i="8"/>
  <c r="B1773" i="8"/>
  <c r="A1773" i="8"/>
  <c r="F1772" i="8"/>
  <c r="E1772" i="8"/>
  <c r="D1772" i="8"/>
  <c r="C1772" i="8"/>
  <c r="B1772" i="8"/>
  <c r="A1772" i="8"/>
  <c r="F1771" i="8"/>
  <c r="E1771" i="8"/>
  <c r="D1771" i="8"/>
  <c r="C1771" i="8"/>
  <c r="B1771" i="8"/>
  <c r="A1771" i="8"/>
  <c r="F1770" i="8"/>
  <c r="E1770" i="8"/>
  <c r="D1770" i="8"/>
  <c r="C1770" i="8"/>
  <c r="B1770" i="8"/>
  <c r="A1770" i="8"/>
  <c r="F1769" i="8"/>
  <c r="E1769" i="8"/>
  <c r="D1769" i="8"/>
  <c r="C1769" i="8"/>
  <c r="B1769" i="8"/>
  <c r="A1769" i="8"/>
  <c r="F1768" i="8"/>
  <c r="E1768" i="8"/>
  <c r="D1768" i="8"/>
  <c r="C1768" i="8"/>
  <c r="B1768" i="8"/>
  <c r="A1768" i="8"/>
  <c r="F1767" i="8"/>
  <c r="E1767" i="8"/>
  <c r="D1767" i="8"/>
  <c r="C1767" i="8"/>
  <c r="B1767" i="8"/>
  <c r="A1767" i="8"/>
  <c r="F1766" i="8"/>
  <c r="G1766" i="8" s="1"/>
  <c r="E1766" i="8"/>
  <c r="D1766" i="8"/>
  <c r="C1766" i="8"/>
  <c r="B1766" i="8"/>
  <c r="A1766" i="8"/>
  <c r="F1765" i="8"/>
  <c r="E1765" i="8"/>
  <c r="D1765" i="8"/>
  <c r="C1765" i="8"/>
  <c r="B1765" i="8"/>
  <c r="A1765" i="8"/>
  <c r="F1764" i="8"/>
  <c r="E1764" i="8"/>
  <c r="D1764" i="8"/>
  <c r="C1764" i="8"/>
  <c r="B1764" i="8"/>
  <c r="A1764" i="8"/>
  <c r="F1763" i="8"/>
  <c r="E1763" i="8"/>
  <c r="D1763" i="8"/>
  <c r="C1763" i="8"/>
  <c r="B1763" i="8"/>
  <c r="A1763" i="8"/>
  <c r="F1762" i="8"/>
  <c r="E1762" i="8"/>
  <c r="D1762" i="8"/>
  <c r="C1762" i="8"/>
  <c r="B1762" i="8"/>
  <c r="A1762" i="8"/>
  <c r="F1761" i="8"/>
  <c r="E1761" i="8"/>
  <c r="D1761" i="8"/>
  <c r="C1761" i="8"/>
  <c r="B1761" i="8"/>
  <c r="A1761" i="8"/>
  <c r="F1760" i="8"/>
  <c r="E1760" i="8"/>
  <c r="D1760" i="8"/>
  <c r="C1760" i="8"/>
  <c r="B1760" i="8"/>
  <c r="A1760" i="8"/>
  <c r="F1759" i="8"/>
  <c r="E1759" i="8"/>
  <c r="D1759" i="8"/>
  <c r="C1759" i="8"/>
  <c r="B1759" i="8"/>
  <c r="A1759" i="8"/>
  <c r="F1758" i="8"/>
  <c r="E1758" i="8"/>
  <c r="D1758" i="8"/>
  <c r="C1758" i="8"/>
  <c r="B1758" i="8"/>
  <c r="A1758" i="8"/>
  <c r="F1757" i="8"/>
  <c r="E1757" i="8"/>
  <c r="D1757" i="8"/>
  <c r="C1757" i="8"/>
  <c r="B1757" i="8"/>
  <c r="A1757" i="8"/>
  <c r="F1756" i="8"/>
  <c r="G1756" i="8" s="1"/>
  <c r="E1756" i="8"/>
  <c r="D1756" i="8"/>
  <c r="C1756" i="8"/>
  <c r="B1756" i="8"/>
  <c r="A1756" i="8"/>
  <c r="F1755" i="8"/>
  <c r="G1755" i="8" s="1"/>
  <c r="E1755" i="8"/>
  <c r="D1755" i="8"/>
  <c r="C1755" i="8"/>
  <c r="B1755" i="8"/>
  <c r="A1755" i="8"/>
  <c r="F1754" i="8"/>
  <c r="E1754" i="8"/>
  <c r="D1754" i="8"/>
  <c r="C1754" i="8"/>
  <c r="B1754" i="8"/>
  <c r="A1754" i="8"/>
  <c r="F1753" i="8"/>
  <c r="G1753" i="8" s="1"/>
  <c r="E1753" i="8"/>
  <c r="D1753" i="8"/>
  <c r="C1753" i="8"/>
  <c r="B1753" i="8"/>
  <c r="A1753" i="8"/>
  <c r="F1752" i="8"/>
  <c r="E1752" i="8"/>
  <c r="D1752" i="8"/>
  <c r="C1752" i="8"/>
  <c r="B1752" i="8"/>
  <c r="A1752" i="8"/>
  <c r="F1751" i="8"/>
  <c r="G1751" i="8" s="1"/>
  <c r="E1751" i="8"/>
  <c r="D1751" i="8"/>
  <c r="C1751" i="8"/>
  <c r="B1751" i="8"/>
  <c r="A1751" i="8"/>
  <c r="F1750" i="8"/>
  <c r="E1750" i="8"/>
  <c r="D1750" i="8"/>
  <c r="C1750" i="8"/>
  <c r="B1750" i="8"/>
  <c r="A1750" i="8"/>
  <c r="F1749" i="8"/>
  <c r="E1749" i="8"/>
  <c r="D1749" i="8"/>
  <c r="C1749" i="8"/>
  <c r="B1749" i="8"/>
  <c r="A1749" i="8"/>
  <c r="F1748" i="8"/>
  <c r="E1748" i="8"/>
  <c r="D1748" i="8"/>
  <c r="C1748" i="8"/>
  <c r="B1748" i="8"/>
  <c r="A1748" i="8"/>
  <c r="G1747" i="8"/>
  <c r="F1747" i="8"/>
  <c r="E1747" i="8"/>
  <c r="D1747" i="8"/>
  <c r="C1747" i="8"/>
  <c r="B1747" i="8"/>
  <c r="A1747" i="8"/>
  <c r="F1746" i="8"/>
  <c r="E1746" i="8"/>
  <c r="D1746" i="8"/>
  <c r="C1746" i="8"/>
  <c r="B1746" i="8"/>
  <c r="A1746" i="8"/>
  <c r="F1745" i="8"/>
  <c r="E1745" i="8"/>
  <c r="D1745" i="8"/>
  <c r="C1745" i="8"/>
  <c r="B1745" i="8"/>
  <c r="A1745" i="8"/>
  <c r="F1744" i="8"/>
  <c r="E1744" i="8"/>
  <c r="D1744" i="8"/>
  <c r="C1744" i="8"/>
  <c r="B1744" i="8"/>
  <c r="A1744" i="8"/>
  <c r="F1743" i="8"/>
  <c r="E1743" i="8"/>
  <c r="D1743" i="8"/>
  <c r="C1743" i="8"/>
  <c r="B1743" i="8"/>
  <c r="A1743" i="8"/>
  <c r="F1742" i="8"/>
  <c r="E1742" i="8"/>
  <c r="D1742" i="8"/>
  <c r="C1742" i="8"/>
  <c r="B1742" i="8"/>
  <c r="A1742" i="8"/>
  <c r="F1741" i="8"/>
  <c r="E1741" i="8"/>
  <c r="D1741" i="8"/>
  <c r="C1741" i="8"/>
  <c r="B1741" i="8"/>
  <c r="A1741" i="8"/>
  <c r="F1740" i="8"/>
  <c r="E1740" i="8"/>
  <c r="D1740" i="8"/>
  <c r="C1740" i="8"/>
  <c r="B1740" i="8"/>
  <c r="A1740" i="8"/>
  <c r="F1739" i="8"/>
  <c r="E1739" i="8"/>
  <c r="D1739" i="8"/>
  <c r="C1739" i="8"/>
  <c r="B1739" i="8"/>
  <c r="A1739" i="8"/>
  <c r="F1738" i="8"/>
  <c r="E1738" i="8"/>
  <c r="D1738" i="8"/>
  <c r="C1738" i="8"/>
  <c r="B1738" i="8"/>
  <c r="A1738" i="8"/>
  <c r="F1737" i="8"/>
  <c r="E1737" i="8"/>
  <c r="D1737" i="8"/>
  <c r="C1737" i="8"/>
  <c r="B1737" i="8"/>
  <c r="A1737" i="8"/>
  <c r="F1736" i="8"/>
  <c r="E1736" i="8"/>
  <c r="D1736" i="8"/>
  <c r="C1736" i="8"/>
  <c r="B1736" i="8"/>
  <c r="A1736" i="8"/>
  <c r="F1735" i="8"/>
  <c r="E1735" i="8"/>
  <c r="D1735" i="8"/>
  <c r="C1735" i="8"/>
  <c r="B1735" i="8"/>
  <c r="A1735" i="8"/>
  <c r="F1734" i="8"/>
  <c r="E1734" i="8"/>
  <c r="D1734" i="8"/>
  <c r="C1734" i="8"/>
  <c r="B1734" i="8"/>
  <c r="A1734" i="8"/>
  <c r="F1733" i="8"/>
  <c r="E1733" i="8"/>
  <c r="D1733" i="8"/>
  <c r="C1733" i="8"/>
  <c r="B1733" i="8"/>
  <c r="A1733" i="8"/>
  <c r="F1732" i="8"/>
  <c r="E1732" i="8"/>
  <c r="D1732" i="8"/>
  <c r="C1732" i="8"/>
  <c r="B1732" i="8"/>
  <c r="A1732" i="8"/>
  <c r="F1731" i="8"/>
  <c r="G1731" i="8" s="1"/>
  <c r="E1731" i="8"/>
  <c r="D1731" i="8"/>
  <c r="C1731" i="8"/>
  <c r="B1731" i="8"/>
  <c r="A1731" i="8"/>
  <c r="F1730" i="8"/>
  <c r="E1730" i="8"/>
  <c r="D1730" i="8"/>
  <c r="C1730" i="8"/>
  <c r="B1730" i="8"/>
  <c r="A1730" i="8"/>
  <c r="F1729" i="8"/>
  <c r="E1729" i="8"/>
  <c r="D1729" i="8"/>
  <c r="C1729" i="8"/>
  <c r="B1729" i="8"/>
  <c r="A1729" i="8"/>
  <c r="F1728" i="8"/>
  <c r="G1728" i="8" s="1"/>
  <c r="E1728" i="8"/>
  <c r="D1728" i="8"/>
  <c r="C1728" i="8"/>
  <c r="B1728" i="8"/>
  <c r="A1728" i="8"/>
  <c r="F1727" i="8"/>
  <c r="G1727" i="8" s="1"/>
  <c r="E1727" i="8"/>
  <c r="D1727" i="8"/>
  <c r="C1727" i="8"/>
  <c r="B1727" i="8"/>
  <c r="A1727" i="8"/>
  <c r="F1726" i="8"/>
  <c r="E1726" i="8"/>
  <c r="D1726" i="8"/>
  <c r="C1726" i="8"/>
  <c r="B1726" i="8"/>
  <c r="A1726" i="8"/>
  <c r="F1725" i="8"/>
  <c r="E1725" i="8"/>
  <c r="D1725" i="8"/>
  <c r="C1725" i="8"/>
  <c r="B1725" i="8"/>
  <c r="A1725" i="8"/>
  <c r="F1724" i="8"/>
  <c r="G1724" i="8" s="1"/>
  <c r="E1724" i="8"/>
  <c r="D1724" i="8"/>
  <c r="C1724" i="8"/>
  <c r="B1724" i="8"/>
  <c r="A1724" i="8"/>
  <c r="F1723" i="8"/>
  <c r="E1723" i="8"/>
  <c r="D1723" i="8"/>
  <c r="C1723" i="8"/>
  <c r="B1723" i="8"/>
  <c r="A1723" i="8"/>
  <c r="F1722" i="8"/>
  <c r="G1722" i="8" s="1"/>
  <c r="E1722" i="8"/>
  <c r="D1722" i="8"/>
  <c r="C1722" i="8"/>
  <c r="B1722" i="8"/>
  <c r="A1722" i="8"/>
  <c r="F1721" i="8"/>
  <c r="E1721" i="8"/>
  <c r="D1721" i="8"/>
  <c r="C1721" i="8"/>
  <c r="B1721" i="8"/>
  <c r="A1721" i="8"/>
  <c r="F1720" i="8"/>
  <c r="E1720" i="8"/>
  <c r="D1720" i="8"/>
  <c r="C1720" i="8"/>
  <c r="B1720" i="8"/>
  <c r="A1720" i="8"/>
  <c r="F1719" i="8"/>
  <c r="E1719" i="8"/>
  <c r="D1719" i="8"/>
  <c r="C1719" i="8"/>
  <c r="B1719" i="8"/>
  <c r="A1719" i="8"/>
  <c r="F1718" i="8"/>
  <c r="E1718" i="8"/>
  <c r="D1718" i="8"/>
  <c r="C1718" i="8"/>
  <c r="B1718" i="8"/>
  <c r="A1718" i="8"/>
  <c r="F1717" i="8"/>
  <c r="G1717" i="8" s="1"/>
  <c r="E1717" i="8"/>
  <c r="D1717" i="8"/>
  <c r="C1717" i="8"/>
  <c r="B1717" i="8"/>
  <c r="A1717" i="8"/>
  <c r="F1716" i="8"/>
  <c r="E1716" i="8"/>
  <c r="D1716" i="8"/>
  <c r="C1716" i="8"/>
  <c r="B1716" i="8"/>
  <c r="A1716" i="8"/>
  <c r="F1715" i="8"/>
  <c r="E1715" i="8"/>
  <c r="D1715" i="8"/>
  <c r="C1715" i="8"/>
  <c r="B1715" i="8"/>
  <c r="A1715" i="8"/>
  <c r="G1714" i="8"/>
  <c r="F1714" i="8"/>
  <c r="E1714" i="8"/>
  <c r="D1714" i="8"/>
  <c r="C1714" i="8"/>
  <c r="B1714" i="8"/>
  <c r="A1714" i="8"/>
  <c r="F1713" i="8"/>
  <c r="E1713" i="8"/>
  <c r="D1713" i="8"/>
  <c r="C1713" i="8"/>
  <c r="B1713" i="8"/>
  <c r="A1713" i="8"/>
  <c r="F1712" i="8"/>
  <c r="E1712" i="8"/>
  <c r="D1712" i="8"/>
  <c r="C1712" i="8"/>
  <c r="B1712" i="8"/>
  <c r="A1712" i="8"/>
  <c r="F1711" i="8"/>
  <c r="E1711" i="8"/>
  <c r="D1711" i="8"/>
  <c r="C1711" i="8"/>
  <c r="B1711" i="8"/>
  <c r="A1711" i="8"/>
  <c r="F1710" i="8"/>
  <c r="E1710" i="8"/>
  <c r="D1710" i="8"/>
  <c r="C1710" i="8"/>
  <c r="B1710" i="8"/>
  <c r="A1710" i="8"/>
  <c r="F1709" i="8"/>
  <c r="E1709" i="8"/>
  <c r="D1709" i="8"/>
  <c r="C1709" i="8"/>
  <c r="B1709" i="8"/>
  <c r="A1709" i="8"/>
  <c r="F1708" i="8"/>
  <c r="E1708" i="8"/>
  <c r="D1708" i="8"/>
  <c r="C1708" i="8"/>
  <c r="B1708" i="8"/>
  <c r="A1708" i="8"/>
  <c r="F1707" i="8"/>
  <c r="E1707" i="8"/>
  <c r="D1707" i="8"/>
  <c r="C1707" i="8"/>
  <c r="B1707" i="8"/>
  <c r="A1707" i="8"/>
  <c r="F1706" i="8"/>
  <c r="E1706" i="8"/>
  <c r="D1706" i="8"/>
  <c r="C1706" i="8"/>
  <c r="B1706" i="8"/>
  <c r="A1706" i="8"/>
  <c r="F1705" i="8"/>
  <c r="E1705" i="8"/>
  <c r="D1705" i="8"/>
  <c r="C1705" i="8"/>
  <c r="B1705" i="8"/>
  <c r="A1705" i="8"/>
  <c r="F1704" i="8"/>
  <c r="E1704" i="8"/>
  <c r="D1704" i="8"/>
  <c r="C1704" i="8"/>
  <c r="B1704" i="8"/>
  <c r="A1704" i="8"/>
  <c r="F1703" i="8"/>
  <c r="E1703" i="8"/>
  <c r="D1703" i="8"/>
  <c r="C1703" i="8"/>
  <c r="B1703" i="8"/>
  <c r="A1703" i="8"/>
  <c r="F1702" i="8"/>
  <c r="E1702" i="8"/>
  <c r="D1702" i="8"/>
  <c r="C1702" i="8"/>
  <c r="B1702" i="8"/>
  <c r="A1702" i="8"/>
  <c r="F1701" i="8"/>
  <c r="E1701" i="8"/>
  <c r="D1701" i="8"/>
  <c r="C1701" i="8"/>
  <c r="B1701" i="8"/>
  <c r="A1701" i="8"/>
  <c r="F1700" i="8"/>
  <c r="E1700" i="8"/>
  <c r="D1700" i="8"/>
  <c r="C1700" i="8"/>
  <c r="B1700" i="8"/>
  <c r="A1700" i="8"/>
  <c r="F1699" i="8"/>
  <c r="E1699" i="8"/>
  <c r="D1699" i="8"/>
  <c r="C1699" i="8"/>
  <c r="B1699" i="8"/>
  <c r="A1699" i="8"/>
  <c r="F1698" i="8"/>
  <c r="E1698" i="8"/>
  <c r="D1698" i="8"/>
  <c r="C1698" i="8"/>
  <c r="B1698" i="8"/>
  <c r="A1698" i="8"/>
  <c r="F1697" i="8"/>
  <c r="E1697" i="8"/>
  <c r="D1697" i="8"/>
  <c r="C1697" i="8"/>
  <c r="B1697" i="8"/>
  <c r="A1697" i="8"/>
  <c r="F1696" i="8"/>
  <c r="E1696" i="8"/>
  <c r="D1696" i="8"/>
  <c r="C1696" i="8"/>
  <c r="B1696" i="8"/>
  <c r="A1696" i="8"/>
  <c r="F1695" i="8"/>
  <c r="E1695" i="8"/>
  <c r="D1695" i="8"/>
  <c r="C1695" i="8"/>
  <c r="B1695" i="8"/>
  <c r="A1695" i="8"/>
  <c r="G1695" i="8" s="1"/>
  <c r="F1694" i="8"/>
  <c r="E1694" i="8"/>
  <c r="D1694" i="8"/>
  <c r="C1694" i="8"/>
  <c r="B1694" i="8"/>
  <c r="A1694" i="8"/>
  <c r="F1693" i="8"/>
  <c r="E1693" i="8"/>
  <c r="D1693" i="8"/>
  <c r="C1693" i="8"/>
  <c r="B1693" i="8"/>
  <c r="A1693" i="8"/>
  <c r="F1692" i="8"/>
  <c r="E1692" i="8"/>
  <c r="D1692" i="8"/>
  <c r="C1692" i="8"/>
  <c r="B1692" i="8"/>
  <c r="A1692" i="8"/>
  <c r="F1691" i="8"/>
  <c r="E1691" i="8"/>
  <c r="D1691" i="8"/>
  <c r="C1691" i="8"/>
  <c r="B1691" i="8"/>
  <c r="A1691" i="8"/>
  <c r="F1690" i="8"/>
  <c r="E1690" i="8"/>
  <c r="D1690" i="8"/>
  <c r="C1690" i="8"/>
  <c r="B1690" i="8"/>
  <c r="A1690" i="8"/>
  <c r="F1689" i="8"/>
  <c r="E1689" i="8"/>
  <c r="D1689" i="8"/>
  <c r="C1689" i="8"/>
  <c r="B1689" i="8"/>
  <c r="A1689" i="8"/>
  <c r="F1688" i="8"/>
  <c r="E1688" i="8"/>
  <c r="D1688" i="8"/>
  <c r="C1688" i="8"/>
  <c r="A1688" i="8"/>
  <c r="F1687" i="8"/>
  <c r="E1687" i="8"/>
  <c r="D1687" i="8"/>
  <c r="C1687" i="8"/>
  <c r="B1687" i="8"/>
  <c r="A1687" i="8"/>
  <c r="F1686" i="8"/>
  <c r="E1686" i="8"/>
  <c r="D1686" i="8"/>
  <c r="C1686" i="8"/>
  <c r="B1686" i="8"/>
  <c r="A1686" i="8"/>
  <c r="F1685" i="8"/>
  <c r="E1685" i="8"/>
  <c r="D1685" i="8"/>
  <c r="C1685" i="8"/>
  <c r="B1685" i="8"/>
  <c r="A1685" i="8"/>
  <c r="F1684" i="8"/>
  <c r="E1684" i="8"/>
  <c r="D1684" i="8"/>
  <c r="C1684" i="8"/>
  <c r="B1684" i="8"/>
  <c r="A1684" i="8"/>
  <c r="F1683" i="8"/>
  <c r="E1683" i="8"/>
  <c r="D1683" i="8"/>
  <c r="C1683" i="8"/>
  <c r="B1683" i="8"/>
  <c r="A1683" i="8"/>
  <c r="F1682" i="8"/>
  <c r="E1682" i="8"/>
  <c r="D1682" i="8"/>
  <c r="C1682" i="8"/>
  <c r="B1682" i="8"/>
  <c r="A1682" i="8"/>
  <c r="F1681" i="8"/>
  <c r="E1681" i="8"/>
  <c r="D1681" i="8"/>
  <c r="C1681" i="8"/>
  <c r="B1681" i="8"/>
  <c r="A1681" i="8"/>
  <c r="F1680" i="8"/>
  <c r="E1680" i="8"/>
  <c r="D1680" i="8"/>
  <c r="C1680" i="8"/>
  <c r="B1680" i="8"/>
  <c r="A1680" i="8"/>
  <c r="F1679" i="8"/>
  <c r="E1679" i="8"/>
  <c r="D1679" i="8"/>
  <c r="C1679" i="8"/>
  <c r="B1679" i="8"/>
  <c r="A1679" i="8"/>
  <c r="F1678" i="8"/>
  <c r="E1678" i="8"/>
  <c r="D1678" i="8"/>
  <c r="C1678" i="8"/>
  <c r="B1678" i="8"/>
  <c r="A1678" i="8"/>
  <c r="F1677" i="8"/>
  <c r="E1677" i="8"/>
  <c r="D1677" i="8"/>
  <c r="C1677" i="8"/>
  <c r="B1677" i="8"/>
  <c r="A1677" i="8"/>
  <c r="F1676" i="8"/>
  <c r="E1676" i="8"/>
  <c r="D1676" i="8"/>
  <c r="C1676" i="8"/>
  <c r="B1676" i="8"/>
  <c r="A1676" i="8"/>
  <c r="F1675" i="8"/>
  <c r="E1675" i="8"/>
  <c r="D1675" i="8"/>
  <c r="C1675" i="8"/>
  <c r="B1675" i="8"/>
  <c r="A1675" i="8"/>
  <c r="F1674" i="8"/>
  <c r="E1674" i="8"/>
  <c r="D1674" i="8"/>
  <c r="C1674" i="8"/>
  <c r="B1674" i="8"/>
  <c r="A1674" i="8"/>
  <c r="F1673" i="8"/>
  <c r="E1673" i="8"/>
  <c r="D1673" i="8"/>
  <c r="C1673" i="8"/>
  <c r="B1673" i="8"/>
  <c r="A1673" i="8"/>
  <c r="F1672" i="8"/>
  <c r="E1672" i="8"/>
  <c r="D1672" i="8"/>
  <c r="C1672" i="8"/>
  <c r="B1672" i="8"/>
  <c r="A1672" i="8"/>
  <c r="F1671" i="8"/>
  <c r="E1671" i="8"/>
  <c r="D1671" i="8"/>
  <c r="C1671" i="8"/>
  <c r="B1671" i="8"/>
  <c r="A1671" i="8"/>
  <c r="F1670" i="8"/>
  <c r="E1670" i="8"/>
  <c r="D1670" i="8"/>
  <c r="C1670" i="8"/>
  <c r="B1670" i="8"/>
  <c r="A1670" i="8"/>
  <c r="F1669" i="8"/>
  <c r="E1669" i="8"/>
  <c r="D1669" i="8"/>
  <c r="C1669" i="8"/>
  <c r="B1669" i="8"/>
  <c r="A1669" i="8"/>
  <c r="F1668" i="8"/>
  <c r="E1668" i="8"/>
  <c r="D1668" i="8"/>
  <c r="C1668" i="8"/>
  <c r="B1668" i="8"/>
  <c r="A1668" i="8"/>
  <c r="F1667" i="8"/>
  <c r="G1667" i="8" s="1"/>
  <c r="E1667" i="8"/>
  <c r="D1667" i="8"/>
  <c r="C1667" i="8"/>
  <c r="B1667" i="8"/>
  <c r="A1667" i="8"/>
  <c r="F1666" i="8"/>
  <c r="E1666" i="8"/>
  <c r="D1666" i="8"/>
  <c r="C1666" i="8"/>
  <c r="B1666" i="8"/>
  <c r="A1666" i="8"/>
  <c r="F1665" i="8"/>
  <c r="E1665" i="8"/>
  <c r="D1665" i="8"/>
  <c r="C1665" i="8"/>
  <c r="B1665" i="8"/>
  <c r="A1665" i="8"/>
  <c r="F1664" i="8"/>
  <c r="E1664" i="8"/>
  <c r="D1664" i="8"/>
  <c r="C1664" i="8"/>
  <c r="B1664" i="8"/>
  <c r="A1664" i="8"/>
  <c r="F1663" i="8"/>
  <c r="E1663" i="8"/>
  <c r="D1663" i="8"/>
  <c r="C1663" i="8"/>
  <c r="B1663" i="8"/>
  <c r="A1663" i="8"/>
  <c r="F1662" i="8"/>
  <c r="E1662" i="8"/>
  <c r="D1662" i="8"/>
  <c r="C1662" i="8"/>
  <c r="B1662" i="8"/>
  <c r="A1662" i="8"/>
  <c r="F1661" i="8"/>
  <c r="E1661" i="8"/>
  <c r="D1661" i="8"/>
  <c r="C1661" i="8"/>
  <c r="B1661" i="8"/>
  <c r="A1661" i="8"/>
  <c r="F1660" i="8"/>
  <c r="E1660" i="8"/>
  <c r="D1660" i="8"/>
  <c r="C1660" i="8"/>
  <c r="B1660" i="8"/>
  <c r="A1660" i="8"/>
  <c r="F1659" i="8"/>
  <c r="E1659" i="8"/>
  <c r="D1659" i="8"/>
  <c r="C1659" i="8"/>
  <c r="B1659" i="8"/>
  <c r="A1659" i="8"/>
  <c r="F1658" i="8"/>
  <c r="E1658" i="8"/>
  <c r="D1658" i="8"/>
  <c r="C1658" i="8"/>
  <c r="B1658" i="8"/>
  <c r="A1658" i="8"/>
  <c r="F1657" i="8"/>
  <c r="E1657" i="8"/>
  <c r="D1657" i="8"/>
  <c r="C1657" i="8"/>
  <c r="B1657" i="8"/>
  <c r="A1657" i="8"/>
  <c r="F1656" i="8"/>
  <c r="E1656" i="8"/>
  <c r="D1656" i="8"/>
  <c r="C1656" i="8"/>
  <c r="B1656" i="8"/>
  <c r="A1656" i="8"/>
  <c r="F1655" i="8"/>
  <c r="E1655" i="8"/>
  <c r="D1655" i="8"/>
  <c r="C1655" i="8"/>
  <c r="B1655" i="8"/>
  <c r="A1655" i="8"/>
  <c r="F1654" i="8"/>
  <c r="E1654" i="8"/>
  <c r="D1654" i="8"/>
  <c r="C1654" i="8"/>
  <c r="B1654" i="8"/>
  <c r="A1654" i="8"/>
  <c r="F1653" i="8"/>
  <c r="G1653" i="8" s="1"/>
  <c r="E1653" i="8"/>
  <c r="D1653" i="8"/>
  <c r="C1653" i="8"/>
  <c r="B1653" i="8"/>
  <c r="A1653" i="8"/>
  <c r="F1652" i="8"/>
  <c r="E1652" i="8"/>
  <c r="D1652" i="8"/>
  <c r="C1652" i="8"/>
  <c r="B1652" i="8"/>
  <c r="A1652" i="8"/>
  <c r="F1651" i="8"/>
  <c r="G1651" i="8" s="1"/>
  <c r="E1651" i="8"/>
  <c r="D1651" i="8"/>
  <c r="C1651" i="8"/>
  <c r="B1651" i="8"/>
  <c r="A1651" i="8"/>
  <c r="F1650" i="8"/>
  <c r="E1650" i="8"/>
  <c r="D1650" i="8"/>
  <c r="C1650" i="8"/>
  <c r="B1650" i="8"/>
  <c r="A1650" i="8"/>
  <c r="F1649" i="8"/>
  <c r="E1649" i="8"/>
  <c r="D1649" i="8"/>
  <c r="C1649" i="8"/>
  <c r="B1649" i="8"/>
  <c r="A1649" i="8"/>
  <c r="F1648" i="8"/>
  <c r="G1648" i="8" s="1"/>
  <c r="E1648" i="8"/>
  <c r="D1648" i="8"/>
  <c r="C1648" i="8"/>
  <c r="B1648" i="8"/>
  <c r="A1648" i="8"/>
  <c r="F1647" i="8"/>
  <c r="E1647" i="8"/>
  <c r="D1647" i="8"/>
  <c r="C1647" i="8"/>
  <c r="B1647" i="8"/>
  <c r="A1647" i="8"/>
  <c r="F1646" i="8"/>
  <c r="G1646" i="8" s="1"/>
  <c r="E1646" i="8"/>
  <c r="D1646" i="8"/>
  <c r="C1646" i="8"/>
  <c r="B1646" i="8"/>
  <c r="A1646" i="8"/>
  <c r="F1645" i="8"/>
  <c r="E1645" i="8"/>
  <c r="D1645" i="8"/>
  <c r="C1645" i="8"/>
  <c r="B1645" i="8"/>
  <c r="A1645" i="8"/>
  <c r="F1644" i="8"/>
  <c r="E1644" i="8"/>
  <c r="D1644" i="8"/>
  <c r="C1644" i="8"/>
  <c r="B1644" i="8"/>
  <c r="A1644" i="8"/>
  <c r="F1643" i="8"/>
  <c r="E1643" i="8"/>
  <c r="D1643" i="8"/>
  <c r="C1643" i="8"/>
  <c r="B1643" i="8"/>
  <c r="A1643" i="8"/>
  <c r="F1642" i="8"/>
  <c r="E1642" i="8"/>
  <c r="D1642" i="8"/>
  <c r="C1642" i="8"/>
  <c r="B1642" i="8"/>
  <c r="A1642" i="8"/>
  <c r="F1641" i="8"/>
  <c r="E1641" i="8"/>
  <c r="D1641" i="8"/>
  <c r="C1641" i="8"/>
  <c r="B1641" i="8"/>
  <c r="A1641" i="8"/>
  <c r="F1640" i="8"/>
  <c r="E1640" i="8"/>
  <c r="D1640" i="8"/>
  <c r="C1640" i="8"/>
  <c r="B1640" i="8"/>
  <c r="A1640" i="8"/>
  <c r="F1639" i="8"/>
  <c r="E1639" i="8"/>
  <c r="D1639" i="8"/>
  <c r="C1639" i="8"/>
  <c r="B1639" i="8"/>
  <c r="A1639" i="8"/>
  <c r="F1638" i="8"/>
  <c r="E1638" i="8"/>
  <c r="D1638" i="8"/>
  <c r="C1638" i="8"/>
  <c r="B1638" i="8"/>
  <c r="A1638" i="8"/>
  <c r="F1637" i="8"/>
  <c r="E1637" i="8"/>
  <c r="D1637" i="8"/>
  <c r="C1637" i="8"/>
  <c r="B1637" i="8"/>
  <c r="A1637" i="8"/>
  <c r="F1636" i="8"/>
  <c r="E1636" i="8"/>
  <c r="D1636" i="8"/>
  <c r="C1636" i="8"/>
  <c r="B1636" i="8"/>
  <c r="A1636" i="8"/>
  <c r="F1635" i="8"/>
  <c r="E1635" i="8"/>
  <c r="D1635" i="8"/>
  <c r="C1635" i="8"/>
  <c r="B1635" i="8"/>
  <c r="A1635" i="8"/>
  <c r="F1634" i="8"/>
  <c r="E1634" i="8"/>
  <c r="D1634" i="8"/>
  <c r="C1634" i="8"/>
  <c r="B1634" i="8"/>
  <c r="A1634" i="8"/>
  <c r="F1633" i="8"/>
  <c r="E1633" i="8"/>
  <c r="D1633" i="8"/>
  <c r="C1633" i="8"/>
  <c r="B1633" i="8"/>
  <c r="A1633" i="8"/>
  <c r="F1632" i="8"/>
  <c r="E1632" i="8"/>
  <c r="D1632" i="8"/>
  <c r="C1632" i="8"/>
  <c r="B1632" i="8"/>
  <c r="A1632" i="8"/>
  <c r="F1631" i="8"/>
  <c r="E1631" i="8"/>
  <c r="D1631" i="8"/>
  <c r="C1631" i="8"/>
  <c r="B1631" i="8"/>
  <c r="A1631" i="8"/>
  <c r="F1630" i="8"/>
  <c r="E1630" i="8"/>
  <c r="D1630" i="8"/>
  <c r="C1630" i="8"/>
  <c r="B1630" i="8"/>
  <c r="A1630" i="8"/>
  <c r="F1629" i="8"/>
  <c r="E1629" i="8"/>
  <c r="D1629" i="8"/>
  <c r="C1629" i="8"/>
  <c r="B1629" i="8"/>
  <c r="A1629" i="8"/>
  <c r="F1628" i="8"/>
  <c r="E1628" i="8"/>
  <c r="D1628" i="8"/>
  <c r="C1628" i="8"/>
  <c r="B1628" i="8"/>
  <c r="A1628" i="8"/>
  <c r="F1627" i="8"/>
  <c r="G1627" i="8" s="1"/>
  <c r="E1627" i="8"/>
  <c r="D1627" i="8"/>
  <c r="C1627" i="8"/>
  <c r="B1627" i="8"/>
  <c r="A1627" i="8"/>
  <c r="F1626" i="8"/>
  <c r="E1626" i="8"/>
  <c r="D1626" i="8"/>
  <c r="C1626" i="8"/>
  <c r="B1626" i="8"/>
  <c r="A1626" i="8"/>
  <c r="F1625" i="8"/>
  <c r="E1625" i="8"/>
  <c r="D1625" i="8"/>
  <c r="C1625" i="8"/>
  <c r="B1625" i="8"/>
  <c r="A1625" i="8"/>
  <c r="F1624" i="8"/>
  <c r="G1624" i="8" s="1"/>
  <c r="E1624" i="8"/>
  <c r="D1624" i="8"/>
  <c r="C1624" i="8"/>
  <c r="B1624" i="8"/>
  <c r="A1624" i="8"/>
  <c r="F1623" i="8"/>
  <c r="E1623" i="8"/>
  <c r="D1623" i="8"/>
  <c r="C1623" i="8"/>
  <c r="B1623" i="8"/>
  <c r="A1623" i="8"/>
  <c r="F1622" i="8"/>
  <c r="E1622" i="8"/>
  <c r="D1622" i="8"/>
  <c r="C1622" i="8"/>
  <c r="B1622" i="8"/>
  <c r="A1622" i="8"/>
  <c r="F1621" i="8"/>
  <c r="G1621" i="8" s="1"/>
  <c r="E1621" i="8"/>
  <c r="D1621" i="8"/>
  <c r="C1621" i="8"/>
  <c r="B1621" i="8"/>
  <c r="A1621" i="8"/>
  <c r="F1620" i="8"/>
  <c r="G1620" i="8" s="1"/>
  <c r="E1620" i="8"/>
  <c r="D1620" i="8"/>
  <c r="C1620" i="8"/>
  <c r="B1620" i="8"/>
  <c r="A1620" i="8"/>
  <c r="F1619" i="8"/>
  <c r="G1619" i="8" s="1"/>
  <c r="E1619" i="8"/>
  <c r="D1619" i="8"/>
  <c r="C1619" i="8"/>
  <c r="B1619" i="8"/>
  <c r="A1619" i="8"/>
  <c r="F1618" i="8"/>
  <c r="G1618" i="8" s="1"/>
  <c r="E1618" i="8"/>
  <c r="D1618" i="8"/>
  <c r="C1618" i="8"/>
  <c r="B1618" i="8"/>
  <c r="A1618" i="8"/>
  <c r="F1617" i="8"/>
  <c r="E1617" i="8"/>
  <c r="D1617" i="8"/>
  <c r="C1617" i="8"/>
  <c r="B1617" i="8"/>
  <c r="A1617" i="8"/>
  <c r="F1616" i="8"/>
  <c r="E1616" i="8"/>
  <c r="D1616" i="8"/>
  <c r="C1616" i="8"/>
  <c r="B1616" i="8"/>
  <c r="A1616" i="8"/>
  <c r="F1615" i="8"/>
  <c r="E1615" i="8"/>
  <c r="D1615" i="8"/>
  <c r="C1615" i="8"/>
  <c r="B1615" i="8"/>
  <c r="A1615" i="8"/>
  <c r="F1614" i="8"/>
  <c r="E1614" i="8"/>
  <c r="D1614" i="8"/>
  <c r="C1614" i="8"/>
  <c r="B1614" i="8"/>
  <c r="A1614" i="8"/>
  <c r="F1613" i="8"/>
  <c r="E1613" i="8"/>
  <c r="D1613" i="8"/>
  <c r="C1613" i="8"/>
  <c r="B1613" i="8"/>
  <c r="A1613" i="8"/>
  <c r="F1612" i="8"/>
  <c r="E1612" i="8"/>
  <c r="D1612" i="8"/>
  <c r="C1612" i="8"/>
  <c r="B1612" i="8"/>
  <c r="A1612" i="8"/>
  <c r="F1611" i="8"/>
  <c r="E1611" i="8"/>
  <c r="D1611" i="8"/>
  <c r="C1611" i="8"/>
  <c r="B1611" i="8"/>
  <c r="A1611" i="8"/>
  <c r="F1610" i="8"/>
  <c r="E1610" i="8"/>
  <c r="D1610" i="8"/>
  <c r="C1610" i="8"/>
  <c r="B1610" i="8"/>
  <c r="A1610" i="8"/>
  <c r="F1609" i="8"/>
  <c r="E1609" i="8"/>
  <c r="D1609" i="8"/>
  <c r="C1609" i="8"/>
  <c r="B1609" i="8"/>
  <c r="A1609" i="8"/>
  <c r="F1608" i="8"/>
  <c r="G1608" i="8" s="1"/>
  <c r="E1608" i="8"/>
  <c r="D1608" i="8"/>
  <c r="C1608" i="8"/>
  <c r="B1608" i="8"/>
  <c r="A1608" i="8"/>
  <c r="F1607" i="8"/>
  <c r="E1607" i="8"/>
  <c r="D1607" i="8"/>
  <c r="C1607" i="8"/>
  <c r="B1607" i="8"/>
  <c r="A1607" i="8"/>
  <c r="F1606" i="8"/>
  <c r="E1606" i="8"/>
  <c r="D1606" i="8"/>
  <c r="C1606" i="8"/>
  <c r="B1606" i="8"/>
  <c r="A1606" i="8"/>
  <c r="F1605" i="8"/>
  <c r="G1605" i="8" s="1"/>
  <c r="E1605" i="8"/>
  <c r="D1605" i="8"/>
  <c r="C1605" i="8"/>
  <c r="B1605" i="8"/>
  <c r="A1605" i="8"/>
  <c r="F1604" i="8"/>
  <c r="E1604" i="8"/>
  <c r="D1604" i="8"/>
  <c r="C1604" i="8"/>
  <c r="B1604" i="8"/>
  <c r="A1604" i="8"/>
  <c r="F1603" i="8"/>
  <c r="G1603" i="8" s="1"/>
  <c r="E1603" i="8"/>
  <c r="D1603" i="8"/>
  <c r="C1603" i="8"/>
  <c r="B1603" i="8"/>
  <c r="A1603" i="8"/>
  <c r="F1602" i="8"/>
  <c r="E1602" i="8"/>
  <c r="D1602" i="8"/>
  <c r="C1602" i="8"/>
  <c r="B1602" i="8"/>
  <c r="A1602" i="8"/>
  <c r="F1601" i="8"/>
  <c r="G1601" i="8" s="1"/>
  <c r="E1601" i="8"/>
  <c r="D1601" i="8"/>
  <c r="C1601" i="8"/>
  <c r="B1601" i="8"/>
  <c r="A1601" i="8"/>
  <c r="F1600" i="8"/>
  <c r="E1600" i="8"/>
  <c r="D1600" i="8"/>
  <c r="C1600" i="8"/>
  <c r="B1600" i="8"/>
  <c r="A1600" i="8"/>
  <c r="F1599" i="8"/>
  <c r="E1599" i="8"/>
  <c r="D1599" i="8"/>
  <c r="C1599" i="8"/>
  <c r="B1599" i="8"/>
  <c r="A1599" i="8"/>
  <c r="F1598" i="8"/>
  <c r="E1598" i="8"/>
  <c r="D1598" i="8"/>
  <c r="C1598" i="8"/>
  <c r="B1598" i="8"/>
  <c r="A1598" i="8"/>
  <c r="F1597" i="8"/>
  <c r="G1597" i="8" s="1"/>
  <c r="E1597" i="8"/>
  <c r="D1597" i="8"/>
  <c r="C1597" i="8"/>
  <c r="B1597" i="8"/>
  <c r="A1597" i="8"/>
  <c r="F1596" i="8"/>
  <c r="E1596" i="8"/>
  <c r="D1596" i="8"/>
  <c r="C1596" i="8"/>
  <c r="B1596" i="8"/>
  <c r="A1596" i="8"/>
  <c r="F1595" i="8"/>
  <c r="E1595" i="8"/>
  <c r="D1595" i="8"/>
  <c r="C1595" i="8"/>
  <c r="B1595" i="8"/>
  <c r="A1595" i="8"/>
  <c r="F1594" i="8"/>
  <c r="G1594" i="8" s="1"/>
  <c r="E1594" i="8"/>
  <c r="D1594" i="8"/>
  <c r="C1594" i="8"/>
  <c r="B1594" i="8"/>
  <c r="A1594" i="8"/>
  <c r="F1593" i="8"/>
  <c r="E1593" i="8"/>
  <c r="D1593" i="8"/>
  <c r="C1593" i="8"/>
  <c r="B1593" i="8"/>
  <c r="A1593" i="8"/>
  <c r="F1592" i="8"/>
  <c r="G1592" i="8" s="1"/>
  <c r="E1592" i="8"/>
  <c r="D1592" i="8"/>
  <c r="C1592" i="8"/>
  <c r="B1592" i="8"/>
  <c r="A1592" i="8"/>
  <c r="F1591" i="8"/>
  <c r="E1591" i="8"/>
  <c r="D1591" i="8"/>
  <c r="C1591" i="8"/>
  <c r="B1591" i="8"/>
  <c r="A1591" i="8"/>
  <c r="G1590" i="8"/>
  <c r="F1590" i="8"/>
  <c r="E1590" i="8"/>
  <c r="D1590" i="8"/>
  <c r="C1590" i="8"/>
  <c r="B1590" i="8"/>
  <c r="A1590" i="8"/>
  <c r="F1589" i="8"/>
  <c r="E1589" i="8"/>
  <c r="D1589" i="8"/>
  <c r="C1589" i="8"/>
  <c r="B1589" i="8"/>
  <c r="A1589" i="8"/>
  <c r="F1588" i="8"/>
  <c r="E1588" i="8"/>
  <c r="D1588" i="8"/>
  <c r="C1588" i="8"/>
  <c r="B1588" i="8"/>
  <c r="A1588" i="8"/>
  <c r="F1587" i="8"/>
  <c r="E1587" i="8"/>
  <c r="D1587" i="8"/>
  <c r="C1587" i="8"/>
  <c r="B1587" i="8"/>
  <c r="A1587" i="8"/>
  <c r="G1587" i="8" s="1"/>
  <c r="F1586" i="8"/>
  <c r="E1586" i="8"/>
  <c r="D1586" i="8"/>
  <c r="C1586" i="8"/>
  <c r="B1586" i="8"/>
  <c r="A1586" i="8"/>
  <c r="G1586" i="8" s="1"/>
  <c r="F1585" i="8"/>
  <c r="E1585" i="8"/>
  <c r="D1585" i="8"/>
  <c r="C1585" i="8"/>
  <c r="B1585" i="8"/>
  <c r="A1585" i="8"/>
  <c r="F1584" i="8"/>
  <c r="E1584" i="8"/>
  <c r="D1584" i="8"/>
  <c r="C1584" i="8"/>
  <c r="B1584" i="8"/>
  <c r="A1584" i="8"/>
  <c r="F1583" i="8"/>
  <c r="E1583" i="8"/>
  <c r="D1583" i="8"/>
  <c r="C1583" i="8"/>
  <c r="B1583" i="8"/>
  <c r="A1583" i="8"/>
  <c r="F1582" i="8"/>
  <c r="E1582" i="8"/>
  <c r="D1582" i="8"/>
  <c r="C1582" i="8"/>
  <c r="B1582" i="8"/>
  <c r="A1582" i="8"/>
  <c r="F1581" i="8"/>
  <c r="E1581" i="8"/>
  <c r="D1581" i="8"/>
  <c r="C1581" i="8"/>
  <c r="B1581" i="8"/>
  <c r="A1581" i="8"/>
  <c r="F1580" i="8"/>
  <c r="E1580" i="8"/>
  <c r="D1580" i="8"/>
  <c r="C1580" i="8"/>
  <c r="B1580" i="8"/>
  <c r="A1580" i="8"/>
  <c r="F1579" i="8"/>
  <c r="E1579" i="8"/>
  <c r="D1579" i="8"/>
  <c r="C1579" i="8"/>
  <c r="B1579" i="8"/>
  <c r="A1579" i="8"/>
  <c r="F1578" i="8"/>
  <c r="E1578" i="8"/>
  <c r="D1578" i="8"/>
  <c r="C1578" i="8"/>
  <c r="B1578" i="8"/>
  <c r="A1578" i="8"/>
  <c r="F1577" i="8"/>
  <c r="E1577" i="8"/>
  <c r="D1577" i="8"/>
  <c r="C1577" i="8"/>
  <c r="B1577" i="8"/>
  <c r="A1577" i="8"/>
  <c r="F1576" i="8"/>
  <c r="E1576" i="8"/>
  <c r="D1576" i="8"/>
  <c r="C1576" i="8"/>
  <c r="B1576" i="8"/>
  <c r="A1576" i="8"/>
  <c r="F1575" i="8"/>
  <c r="E1575" i="8"/>
  <c r="D1575" i="8"/>
  <c r="C1575" i="8"/>
  <c r="B1575" i="8"/>
  <c r="A1575" i="8"/>
  <c r="F1574" i="8"/>
  <c r="E1574" i="8"/>
  <c r="D1574" i="8"/>
  <c r="C1574" i="8"/>
  <c r="B1574" i="8"/>
  <c r="A1574" i="8"/>
  <c r="F1573" i="8"/>
  <c r="E1573" i="8"/>
  <c r="D1573" i="8"/>
  <c r="C1573" i="8"/>
  <c r="B1573" i="8"/>
  <c r="A1573" i="8"/>
  <c r="F1572" i="8"/>
  <c r="E1572" i="8"/>
  <c r="D1572" i="8"/>
  <c r="C1572" i="8"/>
  <c r="B1572" i="8"/>
  <c r="A1572" i="8"/>
  <c r="F1571" i="8"/>
  <c r="E1571" i="8"/>
  <c r="D1571" i="8"/>
  <c r="C1571" i="8"/>
  <c r="B1571" i="8"/>
  <c r="A1571" i="8"/>
  <c r="F1570" i="8"/>
  <c r="E1570" i="8"/>
  <c r="D1570" i="8"/>
  <c r="C1570" i="8"/>
  <c r="B1570" i="8"/>
  <c r="A1570" i="8"/>
  <c r="G1570" i="8" s="1"/>
  <c r="F1569" i="8"/>
  <c r="E1569" i="8"/>
  <c r="D1569" i="8"/>
  <c r="C1569" i="8"/>
  <c r="B1569" i="8"/>
  <c r="A1569" i="8"/>
  <c r="F1568" i="8"/>
  <c r="E1568" i="8"/>
  <c r="D1568" i="8"/>
  <c r="C1568" i="8"/>
  <c r="B1568" i="8"/>
  <c r="A1568" i="8"/>
  <c r="F1567" i="8"/>
  <c r="E1567" i="8"/>
  <c r="D1567" i="8"/>
  <c r="C1567" i="8"/>
  <c r="B1567" i="8"/>
  <c r="A1567" i="8"/>
  <c r="F1566" i="8"/>
  <c r="E1566" i="8"/>
  <c r="D1566" i="8"/>
  <c r="C1566" i="8"/>
  <c r="B1566" i="8"/>
  <c r="A1566" i="8"/>
  <c r="F1565" i="8"/>
  <c r="E1565" i="8"/>
  <c r="D1565" i="8"/>
  <c r="C1565" i="8"/>
  <c r="B1565" i="8"/>
  <c r="A1565" i="8"/>
  <c r="F1564" i="8"/>
  <c r="E1564" i="8"/>
  <c r="D1564" i="8"/>
  <c r="C1564" i="8"/>
  <c r="B1564" i="8"/>
  <c r="A1564" i="8"/>
  <c r="F1563" i="8"/>
  <c r="E1563" i="8"/>
  <c r="D1563" i="8"/>
  <c r="C1563" i="8"/>
  <c r="B1563" i="8"/>
  <c r="A1563" i="8"/>
  <c r="F1562" i="8"/>
  <c r="E1562" i="8"/>
  <c r="D1562" i="8"/>
  <c r="C1562" i="8"/>
  <c r="B1562" i="8"/>
  <c r="A1562" i="8"/>
  <c r="F1561" i="8"/>
  <c r="E1561" i="8"/>
  <c r="D1561" i="8"/>
  <c r="C1561" i="8"/>
  <c r="B1561" i="8"/>
  <c r="A1561" i="8"/>
  <c r="F1560" i="8"/>
  <c r="E1560" i="8"/>
  <c r="D1560" i="8"/>
  <c r="C1560" i="8"/>
  <c r="B1560" i="8"/>
  <c r="A1560" i="8"/>
  <c r="F1559" i="8"/>
  <c r="E1559" i="8"/>
  <c r="D1559" i="8"/>
  <c r="C1559" i="8"/>
  <c r="B1559" i="8"/>
  <c r="A1559" i="8"/>
  <c r="G1559" i="8" s="1"/>
  <c r="F1558" i="8"/>
  <c r="E1558" i="8"/>
  <c r="D1558" i="8"/>
  <c r="C1558" i="8"/>
  <c r="B1558" i="8"/>
  <c r="A1558" i="8"/>
  <c r="F1557" i="8"/>
  <c r="E1557" i="8"/>
  <c r="D1557" i="8"/>
  <c r="C1557" i="8"/>
  <c r="B1557" i="8"/>
  <c r="A1557" i="8"/>
  <c r="F1556" i="8"/>
  <c r="E1556" i="8"/>
  <c r="D1556" i="8"/>
  <c r="C1556" i="8"/>
  <c r="B1556" i="8"/>
  <c r="A1556" i="8"/>
  <c r="F1555" i="8"/>
  <c r="E1555" i="8"/>
  <c r="D1555" i="8"/>
  <c r="C1555" i="8"/>
  <c r="B1555" i="8"/>
  <c r="A1555" i="8"/>
  <c r="G1555" i="8" s="1"/>
  <c r="F1554" i="8"/>
  <c r="E1554" i="8"/>
  <c r="D1554" i="8"/>
  <c r="C1554" i="8"/>
  <c r="B1554" i="8"/>
  <c r="A1554" i="8"/>
  <c r="F1553" i="8"/>
  <c r="E1553" i="8"/>
  <c r="D1553" i="8"/>
  <c r="C1553" i="8"/>
  <c r="B1553" i="8"/>
  <c r="A1553" i="8"/>
  <c r="F1552" i="8"/>
  <c r="E1552" i="8"/>
  <c r="D1552" i="8"/>
  <c r="C1552" i="8"/>
  <c r="B1552" i="8"/>
  <c r="A1552" i="8"/>
  <c r="F1551" i="8"/>
  <c r="E1551" i="8"/>
  <c r="D1551" i="8"/>
  <c r="C1551" i="8"/>
  <c r="B1551" i="8"/>
  <c r="A1551" i="8"/>
  <c r="F1550" i="8"/>
  <c r="E1550" i="8"/>
  <c r="D1550" i="8"/>
  <c r="C1550" i="8"/>
  <c r="B1550" i="8"/>
  <c r="A1550" i="8"/>
  <c r="F1549" i="8"/>
  <c r="E1549" i="8"/>
  <c r="D1549" i="8"/>
  <c r="C1549" i="8"/>
  <c r="B1549" i="8"/>
  <c r="A1549" i="8"/>
  <c r="F1548" i="8"/>
  <c r="E1548" i="8"/>
  <c r="D1548" i="8"/>
  <c r="C1548" i="8"/>
  <c r="B1548" i="8"/>
  <c r="A1548" i="8"/>
  <c r="F1547" i="8"/>
  <c r="E1547" i="8"/>
  <c r="D1547" i="8"/>
  <c r="C1547" i="8"/>
  <c r="B1547" i="8"/>
  <c r="A1547" i="8"/>
  <c r="F1546" i="8"/>
  <c r="E1546" i="8"/>
  <c r="D1546" i="8"/>
  <c r="C1546" i="8"/>
  <c r="B1546" i="8"/>
  <c r="A1546" i="8"/>
  <c r="F1545" i="8"/>
  <c r="E1545" i="8"/>
  <c r="D1545" i="8"/>
  <c r="C1545" i="8"/>
  <c r="B1545" i="8"/>
  <c r="A1545" i="8"/>
  <c r="F1544" i="8"/>
  <c r="E1544" i="8"/>
  <c r="D1544" i="8"/>
  <c r="C1544" i="8"/>
  <c r="B1544" i="8"/>
  <c r="A1544" i="8"/>
  <c r="F1543" i="8"/>
  <c r="E1543" i="8"/>
  <c r="D1543" i="8"/>
  <c r="C1543" i="8"/>
  <c r="B1543" i="8"/>
  <c r="A1543" i="8"/>
  <c r="F1542" i="8"/>
  <c r="E1542" i="8"/>
  <c r="D1542" i="8"/>
  <c r="C1542" i="8"/>
  <c r="B1542" i="8"/>
  <c r="A1542" i="8"/>
  <c r="F1541" i="8"/>
  <c r="E1541" i="8"/>
  <c r="D1541" i="8"/>
  <c r="C1541" i="8"/>
  <c r="B1541" i="8"/>
  <c r="A1541" i="8"/>
  <c r="F1540" i="8"/>
  <c r="E1540" i="8"/>
  <c r="D1540" i="8"/>
  <c r="C1540" i="8"/>
  <c r="B1540" i="8"/>
  <c r="A1540" i="8"/>
  <c r="F1539" i="8"/>
  <c r="E1539" i="8"/>
  <c r="D1539" i="8"/>
  <c r="C1539" i="8"/>
  <c r="B1539" i="8"/>
  <c r="A1539" i="8"/>
  <c r="F1538" i="8"/>
  <c r="E1538" i="8"/>
  <c r="D1538" i="8"/>
  <c r="C1538" i="8"/>
  <c r="B1538" i="8"/>
  <c r="A1538" i="8"/>
  <c r="F1537" i="8"/>
  <c r="E1537" i="8"/>
  <c r="D1537" i="8"/>
  <c r="C1537" i="8"/>
  <c r="B1537" i="8"/>
  <c r="A1537" i="8"/>
  <c r="F1536" i="8"/>
  <c r="E1536" i="8"/>
  <c r="D1536" i="8"/>
  <c r="C1536" i="8"/>
  <c r="B1536" i="8"/>
  <c r="A1536" i="8"/>
  <c r="F1535" i="8"/>
  <c r="E1535" i="8"/>
  <c r="D1535" i="8"/>
  <c r="C1535" i="8"/>
  <c r="B1535" i="8"/>
  <c r="A1535" i="8"/>
  <c r="F1534" i="8"/>
  <c r="E1534" i="8"/>
  <c r="D1534" i="8"/>
  <c r="C1534" i="8"/>
  <c r="B1534" i="8"/>
  <c r="A1534" i="8"/>
  <c r="F1533" i="8"/>
  <c r="E1533" i="8"/>
  <c r="D1533" i="8"/>
  <c r="C1533" i="8"/>
  <c r="B1533" i="8"/>
  <c r="A1533" i="8"/>
  <c r="F1532" i="8"/>
  <c r="E1532" i="8"/>
  <c r="D1532" i="8"/>
  <c r="C1532" i="8"/>
  <c r="B1532" i="8"/>
  <c r="A1532" i="8"/>
  <c r="F1531" i="8"/>
  <c r="E1531" i="8"/>
  <c r="D1531" i="8"/>
  <c r="C1531" i="8"/>
  <c r="B1531" i="8"/>
  <c r="A1531" i="8"/>
  <c r="F1530" i="8"/>
  <c r="E1530" i="8"/>
  <c r="D1530" i="8"/>
  <c r="C1530" i="8"/>
  <c r="B1530" i="8"/>
  <c r="A1530" i="8"/>
  <c r="F1529" i="8"/>
  <c r="E1529" i="8"/>
  <c r="D1529" i="8"/>
  <c r="C1529" i="8"/>
  <c r="B1529" i="8"/>
  <c r="A1529" i="8"/>
  <c r="F1528" i="8"/>
  <c r="E1528" i="8"/>
  <c r="D1528" i="8"/>
  <c r="C1528" i="8"/>
  <c r="B1528" i="8"/>
  <c r="A1528" i="8"/>
  <c r="F1527" i="8"/>
  <c r="E1527" i="8"/>
  <c r="D1527" i="8"/>
  <c r="C1527" i="8"/>
  <c r="B1527" i="8"/>
  <c r="A1527" i="8"/>
  <c r="F1526" i="8"/>
  <c r="E1526" i="8"/>
  <c r="D1526" i="8"/>
  <c r="C1526" i="8"/>
  <c r="B1526" i="8"/>
  <c r="A1526" i="8"/>
  <c r="G1526" i="8" s="1"/>
  <c r="F1525" i="8"/>
  <c r="E1525" i="8"/>
  <c r="D1525" i="8"/>
  <c r="C1525" i="8"/>
  <c r="B1525" i="8"/>
  <c r="A1525" i="8"/>
  <c r="F1524" i="8"/>
  <c r="E1524" i="8"/>
  <c r="D1524" i="8"/>
  <c r="C1524" i="8"/>
  <c r="B1524" i="8"/>
  <c r="A1524" i="8"/>
  <c r="F1523" i="8"/>
  <c r="E1523" i="8"/>
  <c r="D1523" i="8"/>
  <c r="C1523" i="8"/>
  <c r="B1523" i="8"/>
  <c r="A1523" i="8"/>
  <c r="F1522" i="8"/>
  <c r="E1522" i="8"/>
  <c r="D1522" i="8"/>
  <c r="C1522" i="8"/>
  <c r="B1522" i="8"/>
  <c r="A1522" i="8"/>
  <c r="G1522" i="8" s="1"/>
  <c r="F1521" i="8"/>
  <c r="E1521" i="8"/>
  <c r="D1521" i="8"/>
  <c r="C1521" i="8"/>
  <c r="B1521" i="8"/>
  <c r="A1521" i="8"/>
  <c r="F1520" i="8"/>
  <c r="E1520" i="8"/>
  <c r="D1520" i="8"/>
  <c r="C1520" i="8"/>
  <c r="B1520" i="8"/>
  <c r="A1520" i="8"/>
  <c r="F1519" i="8"/>
  <c r="E1519" i="8"/>
  <c r="D1519" i="8"/>
  <c r="C1519" i="8"/>
  <c r="B1519" i="8"/>
  <c r="A1519" i="8"/>
  <c r="F1518" i="8"/>
  <c r="E1518" i="8"/>
  <c r="D1518" i="8"/>
  <c r="C1518" i="8"/>
  <c r="B1518" i="8"/>
  <c r="A1518" i="8"/>
  <c r="F1517" i="8"/>
  <c r="E1517" i="8"/>
  <c r="D1517" i="8"/>
  <c r="C1517" i="8"/>
  <c r="B1517" i="8"/>
  <c r="A1517" i="8"/>
  <c r="F1516" i="8"/>
  <c r="E1516" i="8"/>
  <c r="D1516" i="8"/>
  <c r="C1516" i="8"/>
  <c r="B1516" i="8"/>
  <c r="A1516" i="8"/>
  <c r="F1515" i="8"/>
  <c r="E1515" i="8"/>
  <c r="D1515" i="8"/>
  <c r="C1515" i="8"/>
  <c r="B1515" i="8"/>
  <c r="A1515" i="8"/>
  <c r="F1514" i="8"/>
  <c r="E1514" i="8"/>
  <c r="D1514" i="8"/>
  <c r="C1514" i="8"/>
  <c r="B1514" i="8"/>
  <c r="A1514" i="8"/>
  <c r="F1513" i="8"/>
  <c r="E1513" i="8"/>
  <c r="D1513" i="8"/>
  <c r="C1513" i="8"/>
  <c r="B1513" i="8"/>
  <c r="A1513" i="8"/>
  <c r="F1512" i="8"/>
  <c r="E1512" i="8"/>
  <c r="D1512" i="8"/>
  <c r="C1512" i="8"/>
  <c r="B1512" i="8"/>
  <c r="A1512" i="8"/>
  <c r="F1511" i="8"/>
  <c r="E1511" i="8"/>
  <c r="D1511" i="8"/>
  <c r="C1511" i="8"/>
  <c r="B1511" i="8"/>
  <c r="A1511" i="8"/>
  <c r="F1510" i="8"/>
  <c r="E1510" i="8"/>
  <c r="D1510" i="8"/>
  <c r="C1510" i="8"/>
  <c r="B1510" i="8"/>
  <c r="A1510" i="8"/>
  <c r="F1509" i="8"/>
  <c r="E1509" i="8"/>
  <c r="D1509" i="8"/>
  <c r="C1509" i="8"/>
  <c r="B1509" i="8"/>
  <c r="A1509" i="8"/>
  <c r="F1508" i="8"/>
  <c r="E1508" i="8"/>
  <c r="D1508" i="8"/>
  <c r="C1508" i="8"/>
  <c r="B1508" i="8"/>
  <c r="A1508" i="8"/>
  <c r="F1507" i="8"/>
  <c r="E1507" i="8"/>
  <c r="D1507" i="8"/>
  <c r="C1507" i="8"/>
  <c r="B1507" i="8"/>
  <c r="A1507" i="8"/>
  <c r="F1506" i="8"/>
  <c r="E1506" i="8"/>
  <c r="D1506" i="8"/>
  <c r="C1506" i="8"/>
  <c r="B1506" i="8"/>
  <c r="A1506" i="8"/>
  <c r="G1506" i="8" s="1"/>
  <c r="F1505" i="8"/>
  <c r="E1505" i="8"/>
  <c r="D1505" i="8"/>
  <c r="C1505" i="8"/>
  <c r="B1505" i="8"/>
  <c r="A1505" i="8"/>
  <c r="F1504" i="8"/>
  <c r="E1504" i="8"/>
  <c r="D1504" i="8"/>
  <c r="C1504" i="8"/>
  <c r="B1504" i="8"/>
  <c r="A1504" i="8"/>
  <c r="F1503" i="8"/>
  <c r="E1503" i="8"/>
  <c r="D1503" i="8"/>
  <c r="C1503" i="8"/>
  <c r="B1503" i="8"/>
  <c r="A1503" i="8"/>
  <c r="F1502" i="8"/>
  <c r="E1502" i="8"/>
  <c r="D1502" i="8"/>
  <c r="C1502" i="8"/>
  <c r="B1502" i="8"/>
  <c r="A1502" i="8"/>
  <c r="F1501" i="8"/>
  <c r="E1501" i="8"/>
  <c r="D1501" i="8"/>
  <c r="C1501" i="8"/>
  <c r="B1501" i="8"/>
  <c r="A1501" i="8"/>
  <c r="F1500" i="8"/>
  <c r="E1500" i="8"/>
  <c r="D1500" i="8"/>
  <c r="C1500" i="8"/>
  <c r="B1500" i="8"/>
  <c r="A1500" i="8"/>
  <c r="F1499" i="8"/>
  <c r="E1499" i="8"/>
  <c r="D1499" i="8"/>
  <c r="C1499" i="8"/>
  <c r="A1499" i="8"/>
  <c r="F1498" i="8"/>
  <c r="E1498" i="8"/>
  <c r="D1498" i="8"/>
  <c r="C1498" i="8"/>
  <c r="B1498" i="8"/>
  <c r="A1498" i="8"/>
  <c r="F1497" i="8"/>
  <c r="E1497" i="8"/>
  <c r="D1497" i="8"/>
  <c r="C1497" i="8"/>
  <c r="B1497" i="8"/>
  <c r="A1497" i="8"/>
  <c r="F1496" i="8"/>
  <c r="E1496" i="8"/>
  <c r="D1496" i="8"/>
  <c r="C1496" i="8"/>
  <c r="B1496" i="8"/>
  <c r="A1496" i="8"/>
  <c r="F1495" i="8"/>
  <c r="E1495" i="8"/>
  <c r="D1495" i="8"/>
  <c r="C1495" i="8"/>
  <c r="B1495" i="8"/>
  <c r="A1495" i="8"/>
  <c r="F1494" i="8"/>
  <c r="E1494" i="8"/>
  <c r="D1494" i="8"/>
  <c r="C1494" i="8"/>
  <c r="B1494" i="8"/>
  <c r="A1494" i="8"/>
  <c r="F1493" i="8"/>
  <c r="E1493" i="8"/>
  <c r="D1493" i="8"/>
  <c r="C1493" i="8"/>
  <c r="B1493" i="8"/>
  <c r="A1493" i="8"/>
  <c r="F1492" i="8"/>
  <c r="E1492" i="8"/>
  <c r="D1492" i="8"/>
  <c r="C1492" i="8"/>
  <c r="B1492" i="8"/>
  <c r="A1492" i="8"/>
  <c r="F1491" i="8"/>
  <c r="G1491" i="8" s="1"/>
  <c r="A1491" i="8"/>
  <c r="F1490" i="8"/>
  <c r="E1490" i="8"/>
  <c r="D1490" i="8"/>
  <c r="C1490" i="8"/>
  <c r="B1490" i="8"/>
  <c r="A1490" i="8"/>
  <c r="F1489" i="8"/>
  <c r="E1489" i="8"/>
  <c r="D1489" i="8"/>
  <c r="C1489" i="8"/>
  <c r="B1489" i="8"/>
  <c r="A1489" i="8"/>
  <c r="F1488" i="8"/>
  <c r="E1488" i="8"/>
  <c r="D1488" i="8"/>
  <c r="C1488" i="8"/>
  <c r="B1488" i="8"/>
  <c r="A1488" i="8"/>
  <c r="F1487" i="8"/>
  <c r="G1487" i="8" s="1"/>
  <c r="E1487" i="8"/>
  <c r="D1487" i="8"/>
  <c r="C1487" i="8"/>
  <c r="B1487" i="8"/>
  <c r="A1487" i="8"/>
  <c r="F1486" i="8"/>
  <c r="E1486" i="8"/>
  <c r="D1486" i="8"/>
  <c r="C1486" i="8"/>
  <c r="B1486" i="8"/>
  <c r="A1486" i="8"/>
  <c r="F1485" i="8"/>
  <c r="E1485" i="8"/>
  <c r="D1485" i="8"/>
  <c r="C1485" i="8"/>
  <c r="B1485" i="8"/>
  <c r="A1485" i="8"/>
  <c r="F1484" i="8"/>
  <c r="E1484" i="8"/>
  <c r="D1484" i="8"/>
  <c r="C1484" i="8"/>
  <c r="B1484" i="8"/>
  <c r="A1484" i="8"/>
  <c r="F1483" i="8"/>
  <c r="G1483" i="8" s="1"/>
  <c r="E1483" i="8"/>
  <c r="D1483" i="8"/>
  <c r="C1483" i="8"/>
  <c r="B1483" i="8"/>
  <c r="A1483" i="8"/>
  <c r="F1482" i="8"/>
  <c r="E1482" i="8"/>
  <c r="D1482" i="8"/>
  <c r="C1482" i="8"/>
  <c r="B1482" i="8"/>
  <c r="A1482" i="8"/>
  <c r="F1481" i="8"/>
  <c r="E1481" i="8"/>
  <c r="D1481" i="8"/>
  <c r="C1481" i="8"/>
  <c r="B1481" i="8"/>
  <c r="A1481" i="8"/>
  <c r="F1480" i="8"/>
  <c r="E1480" i="8"/>
  <c r="D1480" i="8"/>
  <c r="C1480" i="8"/>
  <c r="B1480" i="8"/>
  <c r="A1480" i="8"/>
  <c r="F1479" i="8"/>
  <c r="G1479" i="8" s="1"/>
  <c r="E1479" i="8"/>
  <c r="D1479" i="8"/>
  <c r="C1479" i="8"/>
  <c r="B1479" i="8"/>
  <c r="A1479" i="8"/>
  <c r="F1478" i="8"/>
  <c r="E1478" i="8"/>
  <c r="D1478" i="8"/>
  <c r="C1478" i="8"/>
  <c r="B1478" i="8"/>
  <c r="A1478" i="8"/>
  <c r="F1477" i="8"/>
  <c r="G1477" i="8" s="1"/>
  <c r="E1477" i="8"/>
  <c r="D1477" i="8"/>
  <c r="C1477" i="8"/>
  <c r="B1477" i="8"/>
  <c r="A1477" i="8"/>
  <c r="F1476" i="8"/>
  <c r="E1476" i="8"/>
  <c r="D1476" i="8"/>
  <c r="C1476" i="8"/>
  <c r="B1476" i="8"/>
  <c r="A1476" i="8"/>
  <c r="F1475" i="8"/>
  <c r="E1475" i="8"/>
  <c r="D1475" i="8"/>
  <c r="C1475" i="8"/>
  <c r="B1475" i="8"/>
  <c r="A1475" i="8"/>
  <c r="G1475" i="8" s="1"/>
  <c r="F1474" i="8"/>
  <c r="E1474" i="8"/>
  <c r="D1474" i="8"/>
  <c r="C1474" i="8"/>
  <c r="B1474" i="8"/>
  <c r="A1474" i="8"/>
  <c r="F1473" i="8"/>
  <c r="E1473" i="8"/>
  <c r="D1473" i="8"/>
  <c r="C1473" i="8"/>
  <c r="B1473" i="8"/>
  <c r="A1473" i="8"/>
  <c r="F1472" i="8"/>
  <c r="E1472" i="8"/>
  <c r="D1472" i="8"/>
  <c r="C1472" i="8"/>
  <c r="B1472" i="8"/>
  <c r="A1472" i="8"/>
  <c r="G1472" i="8" s="1"/>
  <c r="F1471" i="8"/>
  <c r="E1471" i="8"/>
  <c r="D1471" i="8"/>
  <c r="C1471" i="8"/>
  <c r="B1471" i="8"/>
  <c r="A1471" i="8"/>
  <c r="F1470" i="8"/>
  <c r="E1470" i="8"/>
  <c r="D1470" i="8"/>
  <c r="C1470" i="8"/>
  <c r="B1470" i="8"/>
  <c r="A1470" i="8"/>
  <c r="F1469" i="8"/>
  <c r="E1469" i="8"/>
  <c r="D1469" i="8"/>
  <c r="C1469" i="8"/>
  <c r="B1469" i="8"/>
  <c r="A1469" i="8"/>
  <c r="F1468" i="8"/>
  <c r="E1468" i="8"/>
  <c r="D1468" i="8"/>
  <c r="C1468" i="8"/>
  <c r="B1468" i="8"/>
  <c r="A1468" i="8"/>
  <c r="F1467" i="8"/>
  <c r="E1467" i="8"/>
  <c r="D1467" i="8"/>
  <c r="C1467" i="8"/>
  <c r="B1467" i="8"/>
  <c r="A1467" i="8"/>
  <c r="F1466" i="8"/>
  <c r="E1466" i="8"/>
  <c r="D1466" i="8"/>
  <c r="C1466" i="8"/>
  <c r="B1466" i="8"/>
  <c r="A1466" i="8"/>
  <c r="F1465" i="8"/>
  <c r="E1465" i="8"/>
  <c r="D1465" i="8"/>
  <c r="C1465" i="8"/>
  <c r="B1465" i="8"/>
  <c r="A1465" i="8"/>
  <c r="F1464" i="8"/>
  <c r="E1464" i="8"/>
  <c r="D1464" i="8"/>
  <c r="C1464" i="8"/>
  <c r="B1464" i="8"/>
  <c r="A1464" i="8"/>
  <c r="F1463" i="8"/>
  <c r="E1463" i="8"/>
  <c r="D1463" i="8"/>
  <c r="C1463" i="8"/>
  <c r="B1463" i="8"/>
  <c r="A1463" i="8"/>
  <c r="F1462" i="8"/>
  <c r="E1462" i="8"/>
  <c r="D1462" i="8"/>
  <c r="C1462" i="8"/>
  <c r="B1462" i="8"/>
  <c r="A1462" i="8"/>
  <c r="F1461" i="8"/>
  <c r="E1461" i="8"/>
  <c r="D1461" i="8"/>
  <c r="C1461" i="8"/>
  <c r="B1461" i="8"/>
  <c r="A1461" i="8"/>
  <c r="F1460" i="8"/>
  <c r="E1460" i="8"/>
  <c r="D1460" i="8"/>
  <c r="C1460" i="8"/>
  <c r="B1460" i="8"/>
  <c r="A1460" i="8"/>
  <c r="F1459" i="8"/>
  <c r="E1459" i="8"/>
  <c r="D1459" i="8"/>
  <c r="C1459" i="8"/>
  <c r="B1459" i="8"/>
  <c r="A1459" i="8"/>
  <c r="F1458" i="8"/>
  <c r="E1458" i="8"/>
  <c r="D1458" i="8"/>
  <c r="C1458" i="8"/>
  <c r="B1458" i="8"/>
  <c r="A1458" i="8"/>
  <c r="F1457" i="8"/>
  <c r="E1457" i="8"/>
  <c r="D1457" i="8"/>
  <c r="C1457" i="8"/>
  <c r="B1457" i="8"/>
  <c r="A1457" i="8"/>
  <c r="F1456" i="8"/>
  <c r="E1456" i="8"/>
  <c r="D1456" i="8"/>
  <c r="C1456" i="8"/>
  <c r="B1456" i="8"/>
  <c r="A1456" i="8"/>
  <c r="F1455" i="8"/>
  <c r="E1455" i="8"/>
  <c r="D1455" i="8"/>
  <c r="C1455" i="8"/>
  <c r="B1455" i="8"/>
  <c r="A1455" i="8"/>
  <c r="F1454" i="8"/>
  <c r="E1454" i="8"/>
  <c r="D1454" i="8"/>
  <c r="C1454" i="8"/>
  <c r="B1454" i="8"/>
  <c r="A1454" i="8"/>
  <c r="F1453" i="8"/>
  <c r="E1453" i="8"/>
  <c r="D1453" i="8"/>
  <c r="C1453" i="8"/>
  <c r="B1453" i="8"/>
  <c r="A1453" i="8"/>
  <c r="F1452" i="8"/>
  <c r="E1452" i="8"/>
  <c r="D1452" i="8"/>
  <c r="C1452" i="8"/>
  <c r="B1452" i="8"/>
  <c r="A1452" i="8"/>
  <c r="F1451" i="8"/>
  <c r="E1451" i="8"/>
  <c r="D1451" i="8"/>
  <c r="C1451" i="8"/>
  <c r="B1451" i="8"/>
  <c r="A1451" i="8"/>
  <c r="F1450" i="8"/>
  <c r="E1450" i="8"/>
  <c r="D1450" i="8"/>
  <c r="C1450" i="8"/>
  <c r="B1450" i="8"/>
  <c r="A1450" i="8"/>
  <c r="F1449" i="8"/>
  <c r="E1449" i="8"/>
  <c r="D1449" i="8"/>
  <c r="C1449" i="8"/>
  <c r="B1449" i="8"/>
  <c r="A1449" i="8"/>
  <c r="F1448" i="8"/>
  <c r="E1448" i="8"/>
  <c r="D1448" i="8"/>
  <c r="C1448" i="8"/>
  <c r="B1448" i="8"/>
  <c r="A1448" i="8"/>
  <c r="F1447" i="8"/>
  <c r="E1447" i="8"/>
  <c r="D1447" i="8"/>
  <c r="C1447" i="8"/>
  <c r="B1447" i="8"/>
  <c r="A1447" i="8"/>
  <c r="F1446" i="8"/>
  <c r="E1446" i="8"/>
  <c r="D1446" i="8"/>
  <c r="C1446" i="8"/>
  <c r="B1446" i="8"/>
  <c r="A1446" i="8"/>
  <c r="F1445" i="8"/>
  <c r="E1445" i="8"/>
  <c r="D1445" i="8"/>
  <c r="C1445" i="8"/>
  <c r="B1445" i="8"/>
  <c r="A1445" i="8"/>
  <c r="F1444" i="8"/>
  <c r="E1444" i="8"/>
  <c r="D1444" i="8"/>
  <c r="C1444" i="8"/>
  <c r="B1444" i="8"/>
  <c r="A1444" i="8"/>
  <c r="F1443" i="8"/>
  <c r="E1443" i="8"/>
  <c r="D1443" i="8"/>
  <c r="C1443" i="8"/>
  <c r="B1443" i="8"/>
  <c r="A1443" i="8"/>
  <c r="F1442" i="8"/>
  <c r="E1442" i="8"/>
  <c r="D1442" i="8"/>
  <c r="C1442" i="8"/>
  <c r="B1442" i="8"/>
  <c r="A1442" i="8"/>
  <c r="F1441" i="8"/>
  <c r="E1441" i="8"/>
  <c r="D1441" i="8"/>
  <c r="C1441" i="8"/>
  <c r="B1441" i="8"/>
  <c r="A1441" i="8"/>
  <c r="F1440" i="8"/>
  <c r="E1440" i="8"/>
  <c r="D1440" i="8"/>
  <c r="C1440" i="8"/>
  <c r="B1440" i="8"/>
  <c r="A1440" i="8"/>
  <c r="F1439" i="8"/>
  <c r="E1439" i="8"/>
  <c r="D1439" i="8"/>
  <c r="C1439" i="8"/>
  <c r="B1439" i="8"/>
  <c r="A1439" i="8"/>
  <c r="G1439" i="8" s="1"/>
  <c r="F1438" i="8"/>
  <c r="E1438" i="8"/>
  <c r="D1438" i="8"/>
  <c r="C1438" i="8"/>
  <c r="B1438" i="8"/>
  <c r="A1438" i="8"/>
  <c r="F1437" i="8"/>
  <c r="E1437" i="8"/>
  <c r="D1437" i="8"/>
  <c r="C1437" i="8"/>
  <c r="B1437" i="8"/>
  <c r="A1437" i="8"/>
  <c r="F1436" i="8"/>
  <c r="E1436" i="8"/>
  <c r="D1436" i="8"/>
  <c r="C1436" i="8"/>
  <c r="B1436" i="8"/>
  <c r="A1436" i="8"/>
  <c r="F1435" i="8"/>
  <c r="E1435" i="8"/>
  <c r="D1435" i="8"/>
  <c r="C1435" i="8"/>
  <c r="B1435" i="8"/>
  <c r="A1435" i="8"/>
  <c r="F1434" i="8"/>
  <c r="E1434" i="8"/>
  <c r="D1434" i="8"/>
  <c r="C1434" i="8"/>
  <c r="B1434" i="8"/>
  <c r="A1434" i="8"/>
  <c r="F1433" i="8"/>
  <c r="E1433" i="8"/>
  <c r="D1433" i="8"/>
  <c r="C1433" i="8"/>
  <c r="B1433" i="8"/>
  <c r="A1433" i="8"/>
  <c r="F1432" i="8"/>
  <c r="E1432" i="8"/>
  <c r="D1432" i="8"/>
  <c r="C1432" i="8"/>
  <c r="B1432" i="8"/>
  <c r="A1432" i="8"/>
  <c r="F1431" i="8"/>
  <c r="E1431" i="8"/>
  <c r="D1431" i="8"/>
  <c r="C1431" i="8"/>
  <c r="B1431" i="8"/>
  <c r="A1431" i="8"/>
  <c r="F1430" i="8"/>
  <c r="E1430" i="8"/>
  <c r="D1430" i="8"/>
  <c r="C1430" i="8"/>
  <c r="B1430" i="8"/>
  <c r="A1430" i="8"/>
  <c r="F1429" i="8"/>
  <c r="E1429" i="8"/>
  <c r="D1429" i="8"/>
  <c r="C1429" i="8"/>
  <c r="B1429" i="8"/>
  <c r="A1429" i="8"/>
  <c r="F1428" i="8"/>
  <c r="E1428" i="8"/>
  <c r="D1428" i="8"/>
  <c r="C1428" i="8"/>
  <c r="B1428" i="8"/>
  <c r="A1428" i="8"/>
  <c r="G1428" i="8" s="1"/>
  <c r="G1427" i="8"/>
  <c r="E1427" i="8"/>
  <c r="F1426" i="8"/>
  <c r="E1426" i="8"/>
  <c r="D1426" i="8"/>
  <c r="C1426" i="8"/>
  <c r="B1426" i="8"/>
  <c r="A1426" i="8"/>
  <c r="F1425" i="8"/>
  <c r="E1425" i="8"/>
  <c r="D1425" i="8"/>
  <c r="C1425" i="8"/>
  <c r="B1425" i="8"/>
  <c r="A1425" i="8"/>
  <c r="F1424" i="8"/>
  <c r="E1424" i="8"/>
  <c r="D1424" i="8"/>
  <c r="C1424" i="8"/>
  <c r="B1424" i="8"/>
  <c r="A1424" i="8"/>
  <c r="G1423" i="8"/>
  <c r="E1423" i="8"/>
  <c r="D1423" i="8"/>
  <c r="C1423" i="8"/>
  <c r="F1422" i="8"/>
  <c r="E1422" i="8"/>
  <c r="D1422" i="8"/>
  <c r="C1422" i="8"/>
  <c r="B1422" i="8"/>
  <c r="A1422" i="8"/>
  <c r="F1421" i="8"/>
  <c r="E1421" i="8"/>
  <c r="D1421" i="8"/>
  <c r="C1421" i="8"/>
  <c r="B1421" i="8"/>
  <c r="A1421" i="8"/>
  <c r="F1420" i="8"/>
  <c r="E1420" i="8"/>
  <c r="D1420" i="8"/>
  <c r="C1420" i="8"/>
  <c r="B1420" i="8"/>
  <c r="A1420" i="8"/>
  <c r="F1419" i="8"/>
  <c r="E1419" i="8"/>
  <c r="D1419" i="8"/>
  <c r="C1419" i="8"/>
  <c r="B1419" i="8"/>
  <c r="A1419" i="8"/>
  <c r="F1418" i="8"/>
  <c r="E1418" i="8"/>
  <c r="D1418" i="8"/>
  <c r="C1418" i="8"/>
  <c r="B1418" i="8"/>
  <c r="A1418" i="8"/>
  <c r="F1417" i="8"/>
  <c r="E1417" i="8"/>
  <c r="D1417" i="8"/>
  <c r="C1417" i="8"/>
  <c r="B1417" i="8"/>
  <c r="A1417" i="8"/>
  <c r="F1416" i="8"/>
  <c r="E1416" i="8"/>
  <c r="D1416" i="8"/>
  <c r="C1416" i="8"/>
  <c r="B1416" i="8"/>
  <c r="A1416" i="8"/>
  <c r="G1416" i="8" s="1"/>
  <c r="F1415" i="8"/>
  <c r="E1415" i="8"/>
  <c r="D1415" i="8"/>
  <c r="C1415" i="8"/>
  <c r="B1415" i="8"/>
  <c r="A1415" i="8"/>
  <c r="F1414" i="8"/>
  <c r="E1414" i="8"/>
  <c r="D1414" i="8"/>
  <c r="C1414" i="8"/>
  <c r="B1414" i="8"/>
  <c r="A1414" i="8"/>
  <c r="F1413" i="8"/>
  <c r="E1413" i="8"/>
  <c r="D1413" i="8"/>
  <c r="C1413" i="8"/>
  <c r="B1413" i="8"/>
  <c r="A1413" i="8"/>
  <c r="F1412" i="8"/>
  <c r="E1412" i="8"/>
  <c r="D1412" i="8"/>
  <c r="C1412" i="8"/>
  <c r="B1412" i="8"/>
  <c r="A1412" i="8"/>
  <c r="G1412" i="8" s="1"/>
  <c r="F1411" i="8"/>
  <c r="G1411" i="8" s="1"/>
  <c r="E1411" i="8"/>
  <c r="D1411" i="8"/>
  <c r="C1411" i="8"/>
  <c r="B1411" i="8"/>
  <c r="A1411" i="8"/>
  <c r="F1410" i="8"/>
  <c r="E1410" i="8"/>
  <c r="D1410" i="8"/>
  <c r="C1410" i="8"/>
  <c r="B1410" i="8"/>
  <c r="A1410" i="8"/>
  <c r="F1409" i="8"/>
  <c r="E1409" i="8"/>
  <c r="D1409" i="8"/>
  <c r="C1409" i="8"/>
  <c r="B1409" i="8"/>
  <c r="A1409" i="8"/>
  <c r="F1408" i="8"/>
  <c r="E1408" i="8"/>
  <c r="D1408" i="8"/>
  <c r="C1408" i="8"/>
  <c r="B1408" i="8"/>
  <c r="A1408" i="8"/>
  <c r="F1407" i="8"/>
  <c r="E1407" i="8"/>
  <c r="D1407" i="8"/>
  <c r="C1407" i="8"/>
  <c r="B1407" i="8"/>
  <c r="A1407" i="8"/>
  <c r="F1406" i="8"/>
  <c r="E1406" i="8"/>
  <c r="D1406" i="8"/>
  <c r="C1406" i="8"/>
  <c r="B1406" i="8"/>
  <c r="A1406" i="8"/>
  <c r="F1405" i="8"/>
  <c r="E1405" i="8"/>
  <c r="D1405" i="8"/>
  <c r="C1405" i="8"/>
  <c r="B1405" i="8"/>
  <c r="A1405" i="8"/>
  <c r="F1404" i="8"/>
  <c r="E1404" i="8"/>
  <c r="D1404" i="8"/>
  <c r="C1404" i="8"/>
  <c r="B1404" i="8"/>
  <c r="A1404" i="8"/>
  <c r="F1403" i="8"/>
  <c r="E1403" i="8"/>
  <c r="D1403" i="8"/>
  <c r="C1403" i="8"/>
  <c r="B1403" i="8"/>
  <c r="A1403" i="8"/>
  <c r="F1402" i="8"/>
  <c r="E1402" i="8"/>
  <c r="D1402" i="8"/>
  <c r="C1402" i="8"/>
  <c r="B1402" i="8"/>
  <c r="A1402" i="8"/>
  <c r="F1401" i="8"/>
  <c r="E1401" i="8"/>
  <c r="D1401" i="8"/>
  <c r="C1401" i="8"/>
  <c r="B1401" i="8"/>
  <c r="A1401" i="8"/>
  <c r="F1400" i="8"/>
  <c r="E1400" i="8"/>
  <c r="D1400" i="8"/>
  <c r="C1400" i="8"/>
  <c r="B1400" i="8"/>
  <c r="A1400" i="8"/>
  <c r="F1399" i="8"/>
  <c r="G1399" i="8" s="1"/>
  <c r="E1399" i="8"/>
  <c r="D1399" i="8"/>
  <c r="C1399" i="8"/>
  <c r="B1399" i="8"/>
  <c r="A1399" i="8"/>
  <c r="F1398" i="8"/>
  <c r="G1398" i="8" s="1"/>
  <c r="E1398" i="8"/>
  <c r="D1398" i="8"/>
  <c r="C1398" i="8"/>
  <c r="B1398" i="8"/>
  <c r="A1398" i="8"/>
  <c r="F1397" i="8"/>
  <c r="E1397" i="8"/>
  <c r="D1397" i="8"/>
  <c r="C1397" i="8"/>
  <c r="B1397" i="8"/>
  <c r="A1397" i="8"/>
  <c r="F1396" i="8"/>
  <c r="E1396" i="8"/>
  <c r="D1396" i="8"/>
  <c r="C1396" i="8"/>
  <c r="B1396" i="8"/>
  <c r="A1396" i="8"/>
  <c r="F1395" i="8"/>
  <c r="E1395" i="8"/>
  <c r="D1395" i="8"/>
  <c r="C1395" i="8"/>
  <c r="B1395" i="8"/>
  <c r="A1395" i="8"/>
  <c r="F1394" i="8"/>
  <c r="E1394" i="8"/>
  <c r="D1394" i="8"/>
  <c r="C1394" i="8"/>
  <c r="B1394" i="8"/>
  <c r="A1394" i="8"/>
  <c r="G1394" i="8" s="1"/>
  <c r="F1393" i="8"/>
  <c r="E1393" i="8"/>
  <c r="D1393" i="8"/>
  <c r="C1393" i="8"/>
  <c r="B1393" i="8"/>
  <c r="A1393" i="8"/>
  <c r="F1392" i="8"/>
  <c r="E1392" i="8"/>
  <c r="D1392" i="8"/>
  <c r="C1392" i="8"/>
  <c r="B1392" i="8"/>
  <c r="A1392" i="8"/>
  <c r="G1392" i="8" s="1"/>
  <c r="F1391" i="8"/>
  <c r="E1391" i="8"/>
  <c r="D1391" i="8"/>
  <c r="C1391" i="8"/>
  <c r="B1391" i="8"/>
  <c r="A1391" i="8"/>
  <c r="F1390" i="8"/>
  <c r="E1390" i="8"/>
  <c r="D1390" i="8"/>
  <c r="C1390" i="8"/>
  <c r="B1390" i="8"/>
  <c r="A1390" i="8"/>
  <c r="F1389" i="8"/>
  <c r="E1389" i="8"/>
  <c r="D1389" i="8"/>
  <c r="C1389" i="8"/>
  <c r="B1389" i="8"/>
  <c r="A1389" i="8"/>
  <c r="F1388" i="8"/>
  <c r="E1388" i="8"/>
  <c r="D1388" i="8"/>
  <c r="C1388" i="8"/>
  <c r="B1388" i="8"/>
  <c r="A1388" i="8"/>
  <c r="G1388" i="8" s="1"/>
  <c r="F1387" i="8"/>
  <c r="E1387" i="8"/>
  <c r="D1387" i="8"/>
  <c r="C1387" i="8"/>
  <c r="B1387" i="8"/>
  <c r="A1387" i="8"/>
  <c r="F1386" i="8"/>
  <c r="E1386" i="8"/>
  <c r="D1386" i="8"/>
  <c r="C1386" i="8"/>
  <c r="B1386" i="8"/>
  <c r="A1386" i="8"/>
  <c r="F1385" i="8"/>
  <c r="E1385" i="8"/>
  <c r="D1385" i="8"/>
  <c r="C1385" i="8"/>
  <c r="B1385" i="8"/>
  <c r="A1385" i="8"/>
  <c r="F1384" i="8"/>
  <c r="E1384" i="8"/>
  <c r="D1384" i="8"/>
  <c r="C1384" i="8"/>
  <c r="B1384" i="8"/>
  <c r="A1384" i="8"/>
  <c r="F1383" i="8"/>
  <c r="E1383" i="8"/>
  <c r="D1383" i="8"/>
  <c r="C1383" i="8"/>
  <c r="B1383" i="8"/>
  <c r="A1383" i="8"/>
  <c r="F1382" i="8"/>
  <c r="E1382" i="8"/>
  <c r="D1382" i="8"/>
  <c r="C1382" i="8"/>
  <c r="B1382" i="8"/>
  <c r="A1382" i="8"/>
  <c r="F1381" i="8"/>
  <c r="E1381" i="8"/>
  <c r="D1381" i="8"/>
  <c r="C1381" i="8"/>
  <c r="B1381" i="8"/>
  <c r="A1381" i="8"/>
  <c r="F1380" i="8"/>
  <c r="E1380" i="8"/>
  <c r="D1380" i="8"/>
  <c r="C1380" i="8"/>
  <c r="B1380" i="8"/>
  <c r="A1380" i="8"/>
  <c r="F1379" i="8"/>
  <c r="E1379" i="8"/>
  <c r="D1379" i="8"/>
  <c r="C1379" i="8"/>
  <c r="B1379" i="8"/>
  <c r="A1379" i="8"/>
  <c r="F1378" i="8"/>
  <c r="E1378" i="8"/>
  <c r="D1378" i="8"/>
  <c r="C1378" i="8"/>
  <c r="B1378" i="8"/>
  <c r="A1378" i="8"/>
  <c r="F1377" i="8"/>
  <c r="E1377" i="8"/>
  <c r="D1377" i="8"/>
  <c r="C1377" i="8"/>
  <c r="B1377" i="8"/>
  <c r="A1377" i="8"/>
  <c r="F1376" i="8"/>
  <c r="E1376" i="8"/>
  <c r="D1376" i="8"/>
  <c r="C1376" i="8"/>
  <c r="B1376" i="8"/>
  <c r="A1376" i="8"/>
  <c r="F1375" i="8"/>
  <c r="E1375" i="8"/>
  <c r="D1375" i="8"/>
  <c r="C1375" i="8"/>
  <c r="B1375" i="8"/>
  <c r="A1375" i="8"/>
  <c r="F1374" i="8"/>
  <c r="E1374" i="8"/>
  <c r="D1374" i="8"/>
  <c r="C1374" i="8"/>
  <c r="B1374" i="8"/>
  <c r="A1374" i="8"/>
  <c r="F1373" i="8"/>
  <c r="E1373" i="8"/>
  <c r="D1373" i="8"/>
  <c r="C1373" i="8"/>
  <c r="B1373" i="8"/>
  <c r="A1373" i="8"/>
  <c r="F1372" i="8"/>
  <c r="E1372" i="8"/>
  <c r="D1372" i="8"/>
  <c r="C1372" i="8"/>
  <c r="B1372" i="8"/>
  <c r="A1372" i="8"/>
  <c r="F1371" i="8"/>
  <c r="E1371" i="8"/>
  <c r="D1371" i="8"/>
  <c r="C1371" i="8"/>
  <c r="B1371" i="8"/>
  <c r="A1371" i="8"/>
  <c r="F1370" i="8"/>
  <c r="E1370" i="8"/>
  <c r="D1370" i="8"/>
  <c r="C1370" i="8"/>
  <c r="B1370" i="8"/>
  <c r="A1370" i="8"/>
  <c r="F1369" i="8"/>
  <c r="E1369" i="8"/>
  <c r="D1369" i="8"/>
  <c r="C1369" i="8"/>
  <c r="B1369" i="8"/>
  <c r="A1369" i="8"/>
  <c r="F1368" i="8"/>
  <c r="E1368" i="8"/>
  <c r="D1368" i="8"/>
  <c r="C1368" i="8"/>
  <c r="B1368" i="8"/>
  <c r="A1368" i="8"/>
  <c r="F1367" i="8"/>
  <c r="G1367" i="8" s="1"/>
  <c r="E1367" i="8"/>
  <c r="D1367" i="8"/>
  <c r="C1367" i="8"/>
  <c r="B1367" i="8"/>
  <c r="A1367" i="8"/>
  <c r="F1366" i="8"/>
  <c r="E1366" i="8"/>
  <c r="D1366" i="8"/>
  <c r="C1366" i="8"/>
  <c r="B1366" i="8"/>
  <c r="A1366" i="8"/>
  <c r="F1365" i="8"/>
  <c r="E1365" i="8"/>
  <c r="D1365" i="8"/>
  <c r="C1365" i="8"/>
  <c r="B1365" i="8"/>
  <c r="A1365" i="8"/>
  <c r="F1364" i="8"/>
  <c r="E1364" i="8"/>
  <c r="D1364" i="8"/>
  <c r="C1364" i="8"/>
  <c r="B1364" i="8"/>
  <c r="A1364" i="8"/>
  <c r="F1363" i="8"/>
  <c r="E1363" i="8"/>
  <c r="D1363" i="8"/>
  <c r="C1363" i="8"/>
  <c r="B1363" i="8"/>
  <c r="A1363" i="8"/>
  <c r="F1362" i="8"/>
  <c r="E1362" i="8"/>
  <c r="D1362" i="8"/>
  <c r="C1362" i="8"/>
  <c r="B1362" i="8"/>
  <c r="A1362" i="8"/>
  <c r="F1361" i="8"/>
  <c r="E1361" i="8"/>
  <c r="D1361" i="8"/>
  <c r="C1361" i="8"/>
  <c r="B1361" i="8"/>
  <c r="A1361" i="8"/>
  <c r="F1360" i="8"/>
  <c r="E1360" i="8"/>
  <c r="D1360" i="8"/>
  <c r="C1360" i="8"/>
  <c r="B1360" i="8"/>
  <c r="A1360" i="8"/>
  <c r="F1359" i="8"/>
  <c r="E1359" i="8"/>
  <c r="D1359" i="8"/>
  <c r="C1359" i="8"/>
  <c r="B1359" i="8"/>
  <c r="A1359" i="8"/>
  <c r="F1358" i="8"/>
  <c r="E1358" i="8"/>
  <c r="D1358" i="8"/>
  <c r="C1358" i="8"/>
  <c r="B1358" i="8"/>
  <c r="A1358" i="8"/>
  <c r="F1357" i="8"/>
  <c r="E1357" i="8"/>
  <c r="D1357" i="8"/>
  <c r="C1357" i="8"/>
  <c r="B1357" i="8"/>
  <c r="A1357" i="8"/>
  <c r="F1356" i="8"/>
  <c r="E1356" i="8"/>
  <c r="D1356" i="8"/>
  <c r="C1356" i="8"/>
  <c r="B1356" i="8"/>
  <c r="A1356" i="8"/>
  <c r="F1355" i="8"/>
  <c r="E1355" i="8"/>
  <c r="D1355" i="8"/>
  <c r="C1355" i="8"/>
  <c r="B1355" i="8"/>
  <c r="A1355" i="8"/>
  <c r="F1354" i="8"/>
  <c r="E1354" i="8"/>
  <c r="D1354" i="8"/>
  <c r="C1354" i="8"/>
  <c r="B1354" i="8"/>
  <c r="A1354" i="8"/>
  <c r="F1353" i="8"/>
  <c r="E1353" i="8"/>
  <c r="D1353" i="8"/>
  <c r="C1353" i="8"/>
  <c r="B1353" i="8"/>
  <c r="A1353" i="8"/>
  <c r="F1352" i="8"/>
  <c r="E1352" i="8"/>
  <c r="D1352" i="8"/>
  <c r="C1352" i="8"/>
  <c r="B1352" i="8"/>
  <c r="A1352" i="8"/>
  <c r="F1351" i="8"/>
  <c r="E1351" i="8"/>
  <c r="D1351" i="8"/>
  <c r="C1351" i="8"/>
  <c r="B1351" i="8"/>
  <c r="A1351" i="8"/>
  <c r="F1350" i="8"/>
  <c r="E1350" i="8"/>
  <c r="D1350" i="8"/>
  <c r="C1350" i="8"/>
  <c r="B1350" i="8"/>
  <c r="A1350" i="8"/>
  <c r="F1349" i="8"/>
  <c r="G1349" i="8" s="1"/>
  <c r="E1349" i="8"/>
  <c r="D1349" i="8"/>
  <c r="C1349" i="8"/>
  <c r="B1349" i="8"/>
  <c r="A1349" i="8"/>
  <c r="F1348" i="8"/>
  <c r="E1348" i="8"/>
  <c r="D1348" i="8"/>
  <c r="C1348" i="8"/>
  <c r="B1348" i="8"/>
  <c r="A1348" i="8"/>
  <c r="F1347" i="8"/>
  <c r="G1347" i="8" s="1"/>
  <c r="E1347" i="8"/>
  <c r="D1347" i="8"/>
  <c r="C1347" i="8"/>
  <c r="B1347" i="8"/>
  <c r="A1347" i="8"/>
  <c r="F1346" i="8"/>
  <c r="E1346" i="8"/>
  <c r="D1346" i="8"/>
  <c r="C1346" i="8"/>
  <c r="B1346" i="8"/>
  <c r="A1346" i="8"/>
  <c r="F1345" i="8"/>
  <c r="G1345" i="8" s="1"/>
  <c r="E1345" i="8"/>
  <c r="D1345" i="8"/>
  <c r="C1345" i="8"/>
  <c r="B1345" i="8"/>
  <c r="A1345" i="8"/>
  <c r="G1344" i="8"/>
  <c r="E1344" i="8"/>
  <c r="D1344" i="8"/>
  <c r="C1344" i="8"/>
  <c r="F1343" i="8"/>
  <c r="E1343" i="8"/>
  <c r="D1343" i="8"/>
  <c r="C1343" i="8"/>
  <c r="B1343" i="8"/>
  <c r="A1343" i="8"/>
  <c r="G1342" i="8"/>
  <c r="F1342" i="8"/>
  <c r="E1342" i="8"/>
  <c r="D1342" i="8"/>
  <c r="C1342" i="8"/>
  <c r="B1342" i="8"/>
  <c r="A1342" i="8"/>
  <c r="F1341" i="8"/>
  <c r="G1341" i="8" s="1"/>
  <c r="E1341" i="8"/>
  <c r="D1341" i="8"/>
  <c r="C1341" i="8"/>
  <c r="B1341" i="8"/>
  <c r="A1341" i="8"/>
  <c r="F1340" i="8"/>
  <c r="E1340" i="8"/>
  <c r="D1340" i="8"/>
  <c r="C1340" i="8"/>
  <c r="B1340" i="8"/>
  <c r="A1340" i="8"/>
  <c r="F1339" i="8"/>
  <c r="E1339" i="8"/>
  <c r="D1339" i="8"/>
  <c r="C1339" i="8"/>
  <c r="B1339" i="8"/>
  <c r="A1339" i="8"/>
  <c r="F1338" i="8"/>
  <c r="E1338" i="8"/>
  <c r="D1338" i="8"/>
  <c r="C1338" i="8"/>
  <c r="B1338" i="8"/>
  <c r="A1338" i="8"/>
  <c r="F1337" i="8"/>
  <c r="G1337" i="8" s="1"/>
  <c r="E1337" i="8"/>
  <c r="D1337" i="8"/>
  <c r="C1337" i="8"/>
  <c r="B1337" i="8"/>
  <c r="A1337" i="8"/>
  <c r="F1336" i="8"/>
  <c r="E1336" i="8"/>
  <c r="D1336" i="8"/>
  <c r="C1336" i="8"/>
  <c r="B1336" i="8"/>
  <c r="A1336" i="8"/>
  <c r="F1335" i="8"/>
  <c r="G1335" i="8" s="1"/>
  <c r="E1335" i="8"/>
  <c r="D1335" i="8"/>
  <c r="C1335" i="8"/>
  <c r="B1335" i="8"/>
  <c r="A1335" i="8"/>
  <c r="F1334" i="8"/>
  <c r="E1334" i="8"/>
  <c r="D1334" i="8"/>
  <c r="C1334" i="8"/>
  <c r="B1334" i="8"/>
  <c r="A1334" i="8"/>
  <c r="F1333" i="8"/>
  <c r="G1333" i="8" s="1"/>
  <c r="E1333" i="8"/>
  <c r="D1333" i="8"/>
  <c r="C1333" i="8"/>
  <c r="B1333" i="8"/>
  <c r="A1333" i="8"/>
  <c r="F1332" i="8"/>
  <c r="E1332" i="8"/>
  <c r="D1332" i="8"/>
  <c r="C1332" i="8"/>
  <c r="B1332" i="8"/>
  <c r="A1332" i="8"/>
  <c r="G1331" i="8"/>
  <c r="F1331" i="8"/>
  <c r="E1331" i="8"/>
  <c r="D1331" i="8"/>
  <c r="C1331" i="8"/>
  <c r="B1331" i="8"/>
  <c r="A1331" i="8"/>
  <c r="F1330" i="8"/>
  <c r="E1330" i="8"/>
  <c r="D1330" i="8"/>
  <c r="C1330" i="8"/>
  <c r="B1330" i="8"/>
  <c r="A1330" i="8"/>
  <c r="F1329" i="8"/>
  <c r="E1329" i="8"/>
  <c r="D1329" i="8"/>
  <c r="C1329" i="8"/>
  <c r="B1329" i="8"/>
  <c r="A1329" i="8"/>
  <c r="F1328" i="8"/>
  <c r="E1328" i="8"/>
  <c r="D1328" i="8"/>
  <c r="C1328" i="8"/>
  <c r="B1328" i="8"/>
  <c r="A1328" i="8"/>
  <c r="F1327" i="8"/>
  <c r="E1327" i="8"/>
  <c r="D1327" i="8"/>
  <c r="C1327" i="8"/>
  <c r="B1327" i="8"/>
  <c r="A1327" i="8"/>
  <c r="F1326" i="8"/>
  <c r="G1326" i="8" s="1"/>
  <c r="E1326" i="8"/>
  <c r="D1326" i="8"/>
  <c r="C1326" i="8"/>
  <c r="B1326" i="8"/>
  <c r="A1326" i="8"/>
  <c r="F1325" i="8"/>
  <c r="E1325" i="8"/>
  <c r="D1325" i="8"/>
  <c r="C1325" i="8"/>
  <c r="B1325" i="8"/>
  <c r="A1325" i="8"/>
  <c r="F1324" i="8"/>
  <c r="E1324" i="8"/>
  <c r="D1324" i="8"/>
  <c r="C1324" i="8"/>
  <c r="B1324" i="8"/>
  <c r="A1324" i="8"/>
  <c r="F1323" i="8"/>
  <c r="E1323" i="8"/>
  <c r="D1323" i="8"/>
  <c r="C1323" i="8"/>
  <c r="B1323" i="8"/>
  <c r="A1323" i="8"/>
  <c r="F1322" i="8"/>
  <c r="G1322" i="8" s="1"/>
  <c r="E1322" i="8"/>
  <c r="D1322" i="8"/>
  <c r="C1322" i="8"/>
  <c r="B1322" i="8"/>
  <c r="A1322" i="8"/>
  <c r="F1321" i="8"/>
  <c r="E1321" i="8"/>
  <c r="D1321" i="8"/>
  <c r="C1321" i="8"/>
  <c r="B1321" i="8"/>
  <c r="A1321" i="8"/>
  <c r="F1320" i="8"/>
  <c r="E1320" i="8"/>
  <c r="D1320" i="8"/>
  <c r="C1320" i="8"/>
  <c r="B1320" i="8"/>
  <c r="A1320" i="8"/>
  <c r="F1319" i="8"/>
  <c r="E1319" i="8"/>
  <c r="D1319" i="8"/>
  <c r="C1319" i="8"/>
  <c r="B1319" i="8"/>
  <c r="A1319" i="8"/>
  <c r="F1318" i="8"/>
  <c r="E1318" i="8"/>
  <c r="D1318" i="8"/>
  <c r="C1318" i="8"/>
  <c r="B1318" i="8"/>
  <c r="A1318" i="8"/>
  <c r="F1317" i="8"/>
  <c r="E1317" i="8"/>
  <c r="D1317" i="8"/>
  <c r="C1317" i="8"/>
  <c r="B1317" i="8"/>
  <c r="A1317" i="8"/>
  <c r="F1316" i="8"/>
  <c r="E1316" i="8"/>
  <c r="D1316" i="8"/>
  <c r="C1316" i="8"/>
  <c r="B1316" i="8"/>
  <c r="A1316" i="8"/>
  <c r="F1315" i="8"/>
  <c r="G1315" i="8" s="1"/>
  <c r="E1315" i="8"/>
  <c r="D1315" i="8"/>
  <c r="C1315" i="8"/>
  <c r="B1315" i="8"/>
  <c r="A1315" i="8"/>
  <c r="F1314" i="8"/>
  <c r="E1314" i="8"/>
  <c r="D1314" i="8"/>
  <c r="C1314" i="8"/>
  <c r="B1314" i="8"/>
  <c r="A1314" i="8"/>
  <c r="F1313" i="8"/>
  <c r="E1313" i="8"/>
  <c r="D1313" i="8"/>
  <c r="C1313" i="8"/>
  <c r="B1313" i="8"/>
  <c r="A1313" i="8"/>
  <c r="F1312" i="8"/>
  <c r="E1312" i="8"/>
  <c r="D1312" i="8"/>
  <c r="C1312" i="8"/>
  <c r="B1312" i="8"/>
  <c r="A1312" i="8"/>
  <c r="F1311" i="8"/>
  <c r="E1311" i="8"/>
  <c r="D1311" i="8"/>
  <c r="C1311" i="8"/>
  <c r="B1311" i="8"/>
  <c r="A1311" i="8"/>
  <c r="F1310" i="8"/>
  <c r="E1310" i="8"/>
  <c r="D1310" i="8"/>
  <c r="C1310" i="8"/>
  <c r="B1310" i="8"/>
  <c r="A1310" i="8"/>
  <c r="F1309" i="8"/>
  <c r="G1309" i="8" s="1"/>
  <c r="E1309" i="8"/>
  <c r="D1309" i="8"/>
  <c r="C1309" i="8"/>
  <c r="B1309" i="8"/>
  <c r="A1309" i="8"/>
  <c r="F1308" i="8"/>
  <c r="E1308" i="8"/>
  <c r="D1308" i="8"/>
  <c r="C1308" i="8"/>
  <c r="B1308" i="8"/>
  <c r="A1308" i="8"/>
  <c r="F1307" i="8"/>
  <c r="E1307" i="8"/>
  <c r="D1307" i="8"/>
  <c r="C1307" i="8"/>
  <c r="B1307" i="8"/>
  <c r="A1307" i="8"/>
  <c r="F1306" i="8"/>
  <c r="E1306" i="8"/>
  <c r="D1306" i="8"/>
  <c r="C1306" i="8"/>
  <c r="B1306" i="8"/>
  <c r="A1306" i="8"/>
  <c r="F1305" i="8"/>
  <c r="E1305" i="8"/>
  <c r="D1305" i="8"/>
  <c r="C1305" i="8"/>
  <c r="B1305" i="8"/>
  <c r="A1305" i="8"/>
  <c r="F1304" i="8"/>
  <c r="E1304" i="8"/>
  <c r="D1304" i="8"/>
  <c r="C1304" i="8"/>
  <c r="B1304" i="8"/>
  <c r="A1304" i="8"/>
  <c r="F1303" i="8"/>
  <c r="E1303" i="8"/>
  <c r="D1303" i="8"/>
  <c r="C1303" i="8"/>
  <c r="B1303" i="8"/>
  <c r="A1303" i="8"/>
  <c r="F1302" i="8"/>
  <c r="E1302" i="8"/>
  <c r="D1302" i="8"/>
  <c r="C1302" i="8"/>
  <c r="B1302" i="8"/>
  <c r="A1302" i="8"/>
  <c r="F1301" i="8"/>
  <c r="G1301" i="8" s="1"/>
  <c r="E1301" i="8"/>
  <c r="D1301" i="8"/>
  <c r="C1301" i="8"/>
  <c r="B1301" i="8"/>
  <c r="A1301" i="8"/>
  <c r="F1300" i="8"/>
  <c r="E1300" i="8"/>
  <c r="D1300" i="8"/>
  <c r="C1300" i="8"/>
  <c r="B1300" i="8"/>
  <c r="A1300" i="8"/>
  <c r="F1299" i="8"/>
  <c r="E1299" i="8"/>
  <c r="D1299" i="8"/>
  <c r="C1299" i="8"/>
  <c r="B1299" i="8"/>
  <c r="A1299" i="8"/>
  <c r="F1298" i="8"/>
  <c r="E1298" i="8"/>
  <c r="D1298" i="8"/>
  <c r="C1298" i="8"/>
  <c r="B1298" i="8"/>
  <c r="A1298" i="8"/>
  <c r="F1297" i="8"/>
  <c r="E1297" i="8"/>
  <c r="D1297" i="8"/>
  <c r="C1297" i="8"/>
  <c r="B1297" i="8"/>
  <c r="A1297" i="8"/>
  <c r="F1296" i="8"/>
  <c r="E1296" i="8"/>
  <c r="D1296" i="8"/>
  <c r="C1296" i="8"/>
  <c r="B1296" i="8"/>
  <c r="A1296" i="8"/>
  <c r="F1295" i="8"/>
  <c r="E1295" i="8"/>
  <c r="D1295" i="8"/>
  <c r="C1295" i="8"/>
  <c r="B1295" i="8"/>
  <c r="A1295" i="8"/>
  <c r="F1294" i="8"/>
  <c r="E1294" i="8"/>
  <c r="D1294" i="8"/>
  <c r="C1294" i="8"/>
  <c r="B1294" i="8"/>
  <c r="A1294" i="8"/>
  <c r="F1293" i="8"/>
  <c r="E1293" i="8"/>
  <c r="D1293" i="8"/>
  <c r="C1293" i="8"/>
  <c r="B1293" i="8"/>
  <c r="A1293" i="8"/>
  <c r="F1292" i="8"/>
  <c r="G1292" i="8" s="1"/>
  <c r="E1292" i="8"/>
  <c r="D1292" i="8"/>
  <c r="C1292" i="8"/>
  <c r="B1292" i="8"/>
  <c r="A1292" i="8"/>
  <c r="F1291" i="8"/>
  <c r="E1291" i="8"/>
  <c r="D1291" i="8"/>
  <c r="C1291" i="8"/>
  <c r="B1291" i="8"/>
  <c r="A1291" i="8"/>
  <c r="F1290" i="8"/>
  <c r="E1290" i="8"/>
  <c r="D1290" i="8"/>
  <c r="C1290" i="8"/>
  <c r="B1290" i="8"/>
  <c r="A1290" i="8"/>
  <c r="F1289" i="8"/>
  <c r="E1289" i="8"/>
  <c r="D1289" i="8"/>
  <c r="C1289" i="8"/>
  <c r="B1289" i="8"/>
  <c r="A1289" i="8"/>
  <c r="F1288" i="8"/>
  <c r="E1288" i="8"/>
  <c r="D1288" i="8"/>
  <c r="C1288" i="8"/>
  <c r="B1288" i="8"/>
  <c r="A1288" i="8"/>
  <c r="F1287" i="8"/>
  <c r="E1287" i="8"/>
  <c r="D1287" i="8"/>
  <c r="C1287" i="8"/>
  <c r="B1287" i="8"/>
  <c r="A1287" i="8"/>
  <c r="F1286" i="8"/>
  <c r="E1286" i="8"/>
  <c r="D1286" i="8"/>
  <c r="C1286" i="8"/>
  <c r="B1286" i="8"/>
  <c r="A1286" i="8"/>
  <c r="F1285" i="8"/>
  <c r="G1285" i="8" s="1"/>
  <c r="E1285" i="8"/>
  <c r="D1285" i="8"/>
  <c r="C1285" i="8"/>
  <c r="B1285" i="8"/>
  <c r="A1285" i="8"/>
  <c r="F1284" i="8"/>
  <c r="E1284" i="8"/>
  <c r="D1284" i="8"/>
  <c r="C1284" i="8"/>
  <c r="B1284" i="8"/>
  <c r="A1284" i="8"/>
  <c r="F1283" i="8"/>
  <c r="E1283" i="8"/>
  <c r="D1283" i="8"/>
  <c r="C1283" i="8"/>
  <c r="B1283" i="8"/>
  <c r="A1283" i="8"/>
  <c r="F1282" i="8"/>
  <c r="E1282" i="8"/>
  <c r="D1282" i="8"/>
  <c r="C1282" i="8"/>
  <c r="B1282" i="8"/>
  <c r="A1282" i="8"/>
  <c r="F1281" i="8"/>
  <c r="E1281" i="8"/>
  <c r="D1281" i="8"/>
  <c r="C1281" i="8"/>
  <c r="B1281" i="8"/>
  <c r="A1281" i="8"/>
  <c r="F1280" i="8"/>
  <c r="E1280" i="8"/>
  <c r="D1280" i="8"/>
  <c r="C1280" i="8"/>
  <c r="B1280" i="8"/>
  <c r="A1280" i="8"/>
  <c r="F1279" i="8"/>
  <c r="E1279" i="8"/>
  <c r="D1279" i="8"/>
  <c r="C1279" i="8"/>
  <c r="B1279" i="8"/>
  <c r="A1279" i="8"/>
  <c r="F1278" i="8"/>
  <c r="E1278" i="8"/>
  <c r="D1278" i="8"/>
  <c r="C1278" i="8"/>
  <c r="B1278" i="8"/>
  <c r="A1278" i="8"/>
  <c r="F1277" i="8"/>
  <c r="G1277" i="8" s="1"/>
  <c r="E1277" i="8"/>
  <c r="D1277" i="8"/>
  <c r="C1277" i="8"/>
  <c r="B1277" i="8"/>
  <c r="A1277" i="8"/>
  <c r="F1276" i="8"/>
  <c r="E1276" i="8"/>
  <c r="D1276" i="8"/>
  <c r="C1276" i="8"/>
  <c r="B1276" i="8"/>
  <c r="A1276" i="8"/>
  <c r="G1276" i="8" s="1"/>
  <c r="F1275" i="8"/>
  <c r="E1275" i="8"/>
  <c r="D1275" i="8"/>
  <c r="C1275" i="8"/>
  <c r="B1275" i="8"/>
  <c r="A1275" i="8"/>
  <c r="F1274" i="8"/>
  <c r="E1274" i="8"/>
  <c r="D1274" i="8"/>
  <c r="C1274" i="8"/>
  <c r="B1274" i="8"/>
  <c r="A1274" i="8"/>
  <c r="F1273" i="8"/>
  <c r="E1273" i="8"/>
  <c r="D1273" i="8"/>
  <c r="C1273" i="8"/>
  <c r="B1273" i="8"/>
  <c r="A1273" i="8"/>
  <c r="F1272" i="8"/>
  <c r="E1272" i="8"/>
  <c r="D1272" i="8"/>
  <c r="C1272" i="8"/>
  <c r="B1272" i="8"/>
  <c r="A1272" i="8"/>
  <c r="F1271" i="8"/>
  <c r="E1271" i="8"/>
  <c r="D1271" i="8"/>
  <c r="C1271" i="8"/>
  <c r="B1271" i="8"/>
  <c r="A1271" i="8"/>
  <c r="F1270" i="8"/>
  <c r="E1270" i="8"/>
  <c r="D1270" i="8"/>
  <c r="C1270" i="8"/>
  <c r="B1270" i="8"/>
  <c r="A1270" i="8"/>
  <c r="F1269" i="8"/>
  <c r="E1269" i="8"/>
  <c r="D1269" i="8"/>
  <c r="C1269" i="8"/>
  <c r="B1269" i="8"/>
  <c r="A1269" i="8"/>
  <c r="F1268" i="8"/>
  <c r="E1268" i="8"/>
  <c r="D1268" i="8"/>
  <c r="C1268" i="8"/>
  <c r="B1268" i="8"/>
  <c r="A1268" i="8"/>
  <c r="F1267" i="8"/>
  <c r="E1267" i="8"/>
  <c r="D1267" i="8"/>
  <c r="C1267" i="8"/>
  <c r="B1267" i="8"/>
  <c r="A1267" i="8"/>
  <c r="F1266" i="8"/>
  <c r="E1266" i="8"/>
  <c r="D1266" i="8"/>
  <c r="C1266" i="8"/>
  <c r="B1266" i="8"/>
  <c r="A1266" i="8"/>
  <c r="F1265" i="8"/>
  <c r="E1265" i="8"/>
  <c r="D1265" i="8"/>
  <c r="C1265" i="8"/>
  <c r="B1265" i="8"/>
  <c r="A1265" i="8"/>
  <c r="F1264" i="8"/>
  <c r="E1264" i="8"/>
  <c r="D1264" i="8"/>
  <c r="C1264" i="8"/>
  <c r="B1264" i="8"/>
  <c r="A1264" i="8"/>
  <c r="F1263" i="8"/>
  <c r="E1263" i="8"/>
  <c r="D1263" i="8"/>
  <c r="C1263" i="8"/>
  <c r="B1263" i="8"/>
  <c r="A1263" i="8"/>
  <c r="F1262" i="8"/>
  <c r="E1262" i="8"/>
  <c r="D1262" i="8"/>
  <c r="C1262" i="8"/>
  <c r="B1262" i="8"/>
  <c r="A1262" i="8"/>
  <c r="F1261" i="8"/>
  <c r="E1261" i="8"/>
  <c r="D1261" i="8"/>
  <c r="C1261" i="8"/>
  <c r="B1261" i="8"/>
  <c r="A1261" i="8"/>
  <c r="F1260" i="8"/>
  <c r="E1260" i="8"/>
  <c r="D1260" i="8"/>
  <c r="C1260" i="8"/>
  <c r="B1260" i="8"/>
  <c r="A1260" i="8"/>
  <c r="G1260" i="8" s="1"/>
  <c r="F1259" i="8"/>
  <c r="E1259" i="8"/>
  <c r="D1259" i="8"/>
  <c r="C1259" i="8"/>
  <c r="B1259" i="8"/>
  <c r="A1259" i="8"/>
  <c r="F1258" i="8"/>
  <c r="E1258" i="8"/>
  <c r="D1258" i="8"/>
  <c r="C1258" i="8"/>
  <c r="B1258" i="8"/>
  <c r="A1258" i="8"/>
  <c r="F1257" i="8"/>
  <c r="E1257" i="8"/>
  <c r="D1257" i="8"/>
  <c r="C1257" i="8"/>
  <c r="B1257" i="8"/>
  <c r="A1257" i="8"/>
  <c r="F1256" i="8"/>
  <c r="E1256" i="8"/>
  <c r="D1256" i="8"/>
  <c r="C1256" i="8"/>
  <c r="B1256" i="8"/>
  <c r="A1256" i="8"/>
  <c r="F1255" i="8"/>
  <c r="E1255" i="8"/>
  <c r="D1255" i="8"/>
  <c r="C1255" i="8"/>
  <c r="B1255" i="8"/>
  <c r="A1255" i="8"/>
  <c r="F1254" i="8"/>
  <c r="E1254" i="8"/>
  <c r="D1254" i="8"/>
  <c r="C1254" i="8"/>
  <c r="B1254" i="8"/>
  <c r="A1254" i="8"/>
  <c r="G1254" i="8" s="1"/>
  <c r="F1253" i="8"/>
  <c r="E1253" i="8"/>
  <c r="D1253" i="8"/>
  <c r="C1253" i="8"/>
  <c r="B1253" i="8"/>
  <c r="A1253" i="8"/>
  <c r="F1252" i="8"/>
  <c r="E1252" i="8"/>
  <c r="D1252" i="8"/>
  <c r="C1252" i="8"/>
  <c r="B1252" i="8"/>
  <c r="A1252" i="8"/>
  <c r="F1251" i="8"/>
  <c r="E1251" i="8"/>
  <c r="D1251" i="8"/>
  <c r="C1251" i="8"/>
  <c r="B1251" i="8"/>
  <c r="A1251" i="8"/>
  <c r="F1250" i="8"/>
  <c r="E1250" i="8"/>
  <c r="D1250" i="8"/>
  <c r="C1250" i="8"/>
  <c r="B1250" i="8"/>
  <c r="A1250" i="8"/>
  <c r="F1249" i="8"/>
  <c r="E1249" i="8"/>
  <c r="D1249" i="8"/>
  <c r="C1249" i="8"/>
  <c r="B1249" i="8"/>
  <c r="A1249" i="8"/>
  <c r="F1248" i="8"/>
  <c r="E1248" i="8"/>
  <c r="D1248" i="8"/>
  <c r="C1248" i="8"/>
  <c r="B1248" i="8"/>
  <c r="A1248" i="8"/>
  <c r="F1247" i="8"/>
  <c r="E1247" i="8"/>
  <c r="D1247" i="8"/>
  <c r="C1247" i="8"/>
  <c r="B1247" i="8"/>
  <c r="A1247" i="8"/>
  <c r="F1246" i="8"/>
  <c r="E1246" i="8"/>
  <c r="D1246" i="8"/>
  <c r="C1246" i="8"/>
  <c r="B1246" i="8"/>
  <c r="A1246" i="8"/>
  <c r="G1246" i="8" s="1"/>
  <c r="F1245" i="8"/>
  <c r="E1245" i="8"/>
  <c r="D1245" i="8"/>
  <c r="C1245" i="8"/>
  <c r="B1245" i="8"/>
  <c r="A1245" i="8"/>
  <c r="F1244" i="8"/>
  <c r="E1244" i="8"/>
  <c r="D1244" i="8"/>
  <c r="C1244" i="8"/>
  <c r="B1244" i="8"/>
  <c r="A1244" i="8"/>
  <c r="F1243" i="8"/>
  <c r="E1243" i="8"/>
  <c r="D1243" i="8"/>
  <c r="C1243" i="8"/>
  <c r="B1243" i="8"/>
  <c r="A1243" i="8"/>
  <c r="F1242" i="8"/>
  <c r="E1242" i="8"/>
  <c r="D1242" i="8"/>
  <c r="C1242" i="8"/>
  <c r="B1242" i="8"/>
  <c r="A1242" i="8"/>
  <c r="F1241" i="8"/>
  <c r="E1241" i="8"/>
  <c r="D1241" i="8"/>
  <c r="C1241" i="8"/>
  <c r="B1241" i="8"/>
  <c r="A1241" i="8"/>
  <c r="F1240" i="8"/>
  <c r="E1240" i="8"/>
  <c r="D1240" i="8"/>
  <c r="C1240" i="8"/>
  <c r="B1240" i="8"/>
  <c r="A1240" i="8"/>
  <c r="F1239" i="8"/>
  <c r="E1239" i="8"/>
  <c r="D1239" i="8"/>
  <c r="C1239" i="8"/>
  <c r="B1239" i="8"/>
  <c r="A1239" i="8"/>
  <c r="F1238" i="8"/>
  <c r="E1238" i="8"/>
  <c r="D1238" i="8"/>
  <c r="C1238" i="8"/>
  <c r="B1238" i="8"/>
  <c r="A1238" i="8"/>
  <c r="F1237" i="8"/>
  <c r="E1237" i="8"/>
  <c r="D1237" i="8"/>
  <c r="C1237" i="8"/>
  <c r="B1237" i="8"/>
  <c r="A1237" i="8"/>
  <c r="F1236" i="8"/>
  <c r="E1236" i="8"/>
  <c r="D1236" i="8"/>
  <c r="C1236" i="8"/>
  <c r="B1236" i="8"/>
  <c r="A1236" i="8"/>
  <c r="F1235" i="8"/>
  <c r="E1235" i="8"/>
  <c r="D1235" i="8"/>
  <c r="C1235" i="8"/>
  <c r="B1235" i="8"/>
  <c r="A1235" i="8"/>
  <c r="F1234" i="8"/>
  <c r="E1234" i="8"/>
  <c r="D1234" i="8"/>
  <c r="C1234" i="8"/>
  <c r="B1234" i="8"/>
  <c r="A1234" i="8"/>
  <c r="F1233" i="8"/>
  <c r="E1233" i="8"/>
  <c r="D1233" i="8"/>
  <c r="C1233" i="8"/>
  <c r="B1233" i="8"/>
  <c r="A1233" i="8"/>
  <c r="F1232" i="8"/>
  <c r="E1232" i="8"/>
  <c r="D1232" i="8"/>
  <c r="C1232" i="8"/>
  <c r="B1232" i="8"/>
  <c r="A1232" i="8"/>
  <c r="F1231" i="8"/>
  <c r="E1231" i="8"/>
  <c r="D1231" i="8"/>
  <c r="C1231" i="8"/>
  <c r="B1231" i="8"/>
  <c r="A1231" i="8"/>
  <c r="F1230" i="8"/>
  <c r="E1230" i="8"/>
  <c r="D1230" i="8"/>
  <c r="C1230" i="8"/>
  <c r="B1230" i="8"/>
  <c r="A1230" i="8"/>
  <c r="F1229" i="8"/>
  <c r="E1229" i="8"/>
  <c r="D1229" i="8"/>
  <c r="C1229" i="8"/>
  <c r="B1229" i="8"/>
  <c r="A1229" i="8"/>
  <c r="F1228" i="8"/>
  <c r="E1228" i="8"/>
  <c r="D1228" i="8"/>
  <c r="C1228" i="8"/>
  <c r="B1228" i="8"/>
  <c r="A1228" i="8"/>
  <c r="G1228" i="8" s="1"/>
  <c r="F1227" i="8"/>
  <c r="E1227" i="8"/>
  <c r="D1227" i="8"/>
  <c r="C1227" i="8"/>
  <c r="B1227" i="8"/>
  <c r="A1227" i="8"/>
  <c r="F1226" i="8"/>
  <c r="E1226" i="8"/>
  <c r="D1226" i="8"/>
  <c r="C1226" i="8"/>
  <c r="B1226" i="8"/>
  <c r="A1226" i="8"/>
  <c r="F1225" i="8"/>
  <c r="E1225" i="8"/>
  <c r="D1225" i="8"/>
  <c r="C1225" i="8"/>
  <c r="B1225" i="8"/>
  <c r="A1225" i="8"/>
  <c r="F1224" i="8"/>
  <c r="E1224" i="8"/>
  <c r="D1224" i="8"/>
  <c r="C1224" i="8"/>
  <c r="B1224" i="8"/>
  <c r="A1224" i="8"/>
  <c r="F1223" i="8"/>
  <c r="E1223" i="8"/>
  <c r="D1223" i="8"/>
  <c r="C1223" i="8"/>
  <c r="B1223" i="8"/>
  <c r="A1223" i="8"/>
  <c r="F1222" i="8"/>
  <c r="E1222" i="8"/>
  <c r="D1222" i="8"/>
  <c r="C1222" i="8"/>
  <c r="B1222" i="8"/>
  <c r="A1222" i="8"/>
  <c r="G1222" i="8" s="1"/>
  <c r="F1221" i="8"/>
  <c r="E1221" i="8"/>
  <c r="D1221" i="8"/>
  <c r="C1221" i="8"/>
  <c r="B1221" i="8"/>
  <c r="A1221" i="8"/>
  <c r="F1220" i="8"/>
  <c r="E1220" i="8"/>
  <c r="D1220" i="8"/>
  <c r="C1220" i="8"/>
  <c r="B1220" i="8"/>
  <c r="A1220" i="8"/>
  <c r="F1219" i="8"/>
  <c r="E1219" i="8"/>
  <c r="D1219" i="8"/>
  <c r="C1219" i="8"/>
  <c r="B1219" i="8"/>
  <c r="A1219" i="8"/>
  <c r="F1218" i="8"/>
  <c r="E1218" i="8"/>
  <c r="D1218" i="8"/>
  <c r="C1218" i="8"/>
  <c r="B1218" i="8"/>
  <c r="A1218" i="8"/>
  <c r="F1217" i="8"/>
  <c r="E1217" i="8"/>
  <c r="D1217" i="8"/>
  <c r="C1217" i="8"/>
  <c r="B1217" i="8"/>
  <c r="A1217" i="8"/>
  <c r="F1216" i="8"/>
  <c r="E1216" i="8"/>
  <c r="D1216" i="8"/>
  <c r="C1216" i="8"/>
  <c r="B1216" i="8"/>
  <c r="A1216" i="8"/>
  <c r="F1215" i="8"/>
  <c r="E1215" i="8"/>
  <c r="D1215" i="8"/>
  <c r="C1215" i="8"/>
  <c r="B1215" i="8"/>
  <c r="A1215" i="8"/>
  <c r="F1214" i="8"/>
  <c r="E1214" i="8"/>
  <c r="D1214" i="8"/>
  <c r="C1214" i="8"/>
  <c r="B1214" i="8"/>
  <c r="A1214" i="8"/>
  <c r="G1214" i="8" s="1"/>
  <c r="F1213" i="8"/>
  <c r="E1213" i="8"/>
  <c r="D1213" i="8"/>
  <c r="C1213" i="8"/>
  <c r="B1213" i="8"/>
  <c r="A1213" i="8"/>
  <c r="F1212" i="8"/>
  <c r="E1212" i="8"/>
  <c r="D1212" i="8"/>
  <c r="C1212" i="8"/>
  <c r="B1212" i="8"/>
  <c r="A1212" i="8"/>
  <c r="F1211" i="8"/>
  <c r="E1211" i="8"/>
  <c r="D1211" i="8"/>
  <c r="C1211" i="8"/>
  <c r="B1211" i="8"/>
  <c r="A1211" i="8"/>
  <c r="F1210" i="8"/>
  <c r="E1210" i="8"/>
  <c r="D1210" i="8"/>
  <c r="C1210" i="8"/>
  <c r="B1210" i="8"/>
  <c r="A1210" i="8"/>
  <c r="F1209" i="8"/>
  <c r="E1209" i="8"/>
  <c r="D1209" i="8"/>
  <c r="C1209" i="8"/>
  <c r="B1209" i="8"/>
  <c r="A1209" i="8"/>
  <c r="F1208" i="8"/>
  <c r="E1208" i="8"/>
  <c r="D1208" i="8"/>
  <c r="C1208" i="8"/>
  <c r="B1208" i="8"/>
  <c r="A1208" i="8"/>
  <c r="F1207" i="8"/>
  <c r="E1207" i="8"/>
  <c r="D1207" i="8"/>
  <c r="C1207" i="8"/>
  <c r="B1207" i="8"/>
  <c r="A1207" i="8"/>
  <c r="F1206" i="8"/>
  <c r="E1206" i="8"/>
  <c r="D1206" i="8"/>
  <c r="C1206" i="8"/>
  <c r="B1206" i="8"/>
  <c r="A1206" i="8"/>
  <c r="G1206" i="8" s="1"/>
  <c r="F1205" i="8"/>
  <c r="E1205" i="8"/>
  <c r="D1205" i="8"/>
  <c r="C1205" i="8"/>
  <c r="B1205" i="8"/>
  <c r="A1205" i="8"/>
  <c r="G1205" i="8" s="1"/>
  <c r="F1204" i="8"/>
  <c r="E1204" i="8"/>
  <c r="D1204" i="8"/>
  <c r="C1204" i="8"/>
  <c r="B1204" i="8"/>
  <c r="A1204" i="8"/>
  <c r="F1203" i="8"/>
  <c r="E1203" i="8"/>
  <c r="D1203" i="8"/>
  <c r="C1203" i="8"/>
  <c r="B1203" i="8"/>
  <c r="A1203" i="8"/>
  <c r="F1202" i="8"/>
  <c r="E1202" i="8"/>
  <c r="D1202" i="8"/>
  <c r="C1202" i="8"/>
  <c r="B1202" i="8"/>
  <c r="A1202" i="8"/>
  <c r="F1201" i="8"/>
  <c r="E1201" i="8"/>
  <c r="D1201" i="8"/>
  <c r="C1201" i="8"/>
  <c r="A1201" i="8"/>
  <c r="F1200" i="8"/>
  <c r="E1200" i="8"/>
  <c r="D1200" i="8"/>
  <c r="C1200" i="8"/>
  <c r="B1200" i="8"/>
  <c r="A1200" i="8"/>
  <c r="F1199" i="8"/>
  <c r="E1199" i="8"/>
  <c r="D1199" i="8"/>
  <c r="C1199" i="8"/>
  <c r="B1199" i="8"/>
  <c r="A1199" i="8"/>
  <c r="F1198" i="8"/>
  <c r="E1198" i="8"/>
  <c r="D1198" i="8"/>
  <c r="C1198" i="8"/>
  <c r="B1198" i="8"/>
  <c r="A1198" i="8"/>
  <c r="F1197" i="8"/>
  <c r="E1197" i="8"/>
  <c r="D1197" i="8"/>
  <c r="C1197" i="8"/>
  <c r="B1197" i="8"/>
  <c r="A1197" i="8"/>
  <c r="F1196" i="8"/>
  <c r="E1196" i="8"/>
  <c r="D1196" i="8"/>
  <c r="C1196" i="8"/>
  <c r="B1196" i="8"/>
  <c r="A1196" i="8"/>
  <c r="F1195" i="8"/>
  <c r="E1195" i="8"/>
  <c r="D1195" i="8"/>
  <c r="C1195" i="8"/>
  <c r="B1195" i="8"/>
  <c r="A1195" i="8"/>
  <c r="F1194" i="8"/>
  <c r="E1194" i="8"/>
  <c r="D1194" i="8"/>
  <c r="C1194" i="8"/>
  <c r="B1194" i="8"/>
  <c r="A1194" i="8"/>
  <c r="F1193" i="8"/>
  <c r="E1193" i="8"/>
  <c r="D1193" i="8"/>
  <c r="C1193" i="8"/>
  <c r="B1193" i="8"/>
  <c r="A1193" i="8"/>
  <c r="F1192" i="8"/>
  <c r="E1192" i="8"/>
  <c r="D1192" i="8"/>
  <c r="C1192" i="8"/>
  <c r="B1192" i="8"/>
  <c r="A1192" i="8"/>
  <c r="F1191" i="8"/>
  <c r="E1191" i="8"/>
  <c r="D1191" i="8"/>
  <c r="C1191" i="8"/>
  <c r="B1191" i="8"/>
  <c r="A1191" i="8"/>
  <c r="F1190" i="8"/>
  <c r="E1190" i="8"/>
  <c r="D1190" i="8"/>
  <c r="C1190" i="8"/>
  <c r="B1190" i="8"/>
  <c r="A1190" i="8"/>
  <c r="F1189" i="8"/>
  <c r="E1189" i="8"/>
  <c r="D1189" i="8"/>
  <c r="C1189" i="8"/>
  <c r="B1189" i="8"/>
  <c r="A1189" i="8"/>
  <c r="F1188" i="8"/>
  <c r="A1188" i="8"/>
  <c r="F1187" i="8"/>
  <c r="E1187" i="8"/>
  <c r="D1187" i="8"/>
  <c r="C1187" i="8"/>
  <c r="B1187" i="8"/>
  <c r="A1187" i="8"/>
  <c r="F1186" i="8"/>
  <c r="E1186" i="8"/>
  <c r="D1186" i="8"/>
  <c r="C1186" i="8"/>
  <c r="B1186" i="8"/>
  <c r="A1186" i="8"/>
  <c r="F1185" i="8"/>
  <c r="E1185" i="8"/>
  <c r="D1185" i="8"/>
  <c r="C1185" i="8"/>
  <c r="B1185" i="8"/>
  <c r="A1185" i="8"/>
  <c r="F1184" i="8"/>
  <c r="E1184" i="8"/>
  <c r="D1184" i="8"/>
  <c r="C1184" i="8"/>
  <c r="B1184" i="8"/>
  <c r="A1184" i="8"/>
  <c r="F1183" i="8"/>
  <c r="E1183" i="8"/>
  <c r="D1183" i="8"/>
  <c r="C1183" i="8"/>
  <c r="B1183" i="8"/>
  <c r="A1183" i="8"/>
  <c r="F1182" i="8"/>
  <c r="E1182" i="8"/>
  <c r="D1182" i="8"/>
  <c r="C1182" i="8"/>
  <c r="B1182" i="8"/>
  <c r="A1182" i="8"/>
  <c r="F1181" i="8"/>
  <c r="G1181" i="8" s="1"/>
  <c r="E1181" i="8"/>
  <c r="D1181" i="8"/>
  <c r="C1181" i="8"/>
  <c r="B1181" i="8"/>
  <c r="A1181" i="8"/>
  <c r="F1180" i="8"/>
  <c r="E1180" i="8"/>
  <c r="D1180" i="8"/>
  <c r="C1180" i="8"/>
  <c r="B1180" i="8"/>
  <c r="A1180" i="8"/>
  <c r="F1179" i="8"/>
  <c r="E1179" i="8"/>
  <c r="D1179" i="8"/>
  <c r="C1179" i="8"/>
  <c r="B1179" i="8"/>
  <c r="A1179" i="8"/>
  <c r="F1178" i="8"/>
  <c r="E1178" i="8"/>
  <c r="D1178" i="8"/>
  <c r="C1178" i="8"/>
  <c r="B1178" i="8"/>
  <c r="A1178" i="8"/>
  <c r="F1177" i="8"/>
  <c r="G1177" i="8" s="1"/>
  <c r="E1177" i="8"/>
  <c r="D1177" i="8"/>
  <c r="C1177" i="8"/>
  <c r="B1177" i="8"/>
  <c r="A1177" i="8"/>
  <c r="F1176" i="8"/>
  <c r="E1176" i="8"/>
  <c r="D1176" i="8"/>
  <c r="C1176" i="8"/>
  <c r="B1176" i="8"/>
  <c r="A1176" i="8"/>
  <c r="F1175" i="8"/>
  <c r="E1175" i="8"/>
  <c r="D1175" i="8"/>
  <c r="C1175" i="8"/>
  <c r="B1175" i="8"/>
  <c r="A1175" i="8"/>
  <c r="F1174" i="8"/>
  <c r="E1174" i="8"/>
  <c r="D1174" i="8"/>
  <c r="C1174" i="8"/>
  <c r="B1174" i="8"/>
  <c r="A1174" i="8"/>
  <c r="F1173" i="8"/>
  <c r="E1173" i="8"/>
  <c r="D1173" i="8"/>
  <c r="C1173" i="8"/>
  <c r="B1173" i="8"/>
  <c r="A1173" i="8"/>
  <c r="F1172" i="8"/>
  <c r="E1172" i="8"/>
  <c r="D1172" i="8"/>
  <c r="C1172" i="8"/>
  <c r="B1172" i="8"/>
  <c r="A1172" i="8"/>
  <c r="F1171" i="8"/>
  <c r="E1171" i="8"/>
  <c r="D1171" i="8"/>
  <c r="C1171" i="8"/>
  <c r="B1171" i="8"/>
  <c r="A1171" i="8"/>
  <c r="F1170" i="8"/>
  <c r="E1170" i="8"/>
  <c r="D1170" i="8"/>
  <c r="C1170" i="8"/>
  <c r="B1170" i="8"/>
  <c r="A1170" i="8"/>
  <c r="F1169" i="8"/>
  <c r="E1169" i="8"/>
  <c r="D1169" i="8"/>
  <c r="C1169" i="8"/>
  <c r="B1169" i="8"/>
  <c r="A1169" i="8"/>
  <c r="F1168" i="8"/>
  <c r="E1168" i="8"/>
  <c r="D1168" i="8"/>
  <c r="C1168" i="8"/>
  <c r="B1168" i="8"/>
  <c r="A1168" i="8"/>
  <c r="F1167" i="8"/>
  <c r="E1167" i="8"/>
  <c r="D1167" i="8"/>
  <c r="C1167" i="8"/>
  <c r="B1167" i="8"/>
  <c r="A1167" i="8"/>
  <c r="F1166" i="8"/>
  <c r="E1166" i="8"/>
  <c r="D1166" i="8"/>
  <c r="C1166" i="8"/>
  <c r="B1166" i="8"/>
  <c r="A1166" i="8"/>
  <c r="F1165" i="8"/>
  <c r="E1165" i="8"/>
  <c r="D1165" i="8"/>
  <c r="C1165" i="8"/>
  <c r="B1165" i="8"/>
  <c r="A1165" i="8"/>
  <c r="F1164" i="8"/>
  <c r="E1164" i="8"/>
  <c r="D1164" i="8"/>
  <c r="C1164" i="8"/>
  <c r="B1164" i="8"/>
  <c r="A1164" i="8"/>
  <c r="F1163" i="8"/>
  <c r="E1163" i="8"/>
  <c r="D1163" i="8"/>
  <c r="C1163" i="8"/>
  <c r="B1163" i="8"/>
  <c r="A1163" i="8"/>
  <c r="F1162" i="8"/>
  <c r="E1162" i="8"/>
  <c r="D1162" i="8"/>
  <c r="C1162" i="8"/>
  <c r="B1162" i="8"/>
  <c r="A1162" i="8"/>
  <c r="F1161" i="8"/>
  <c r="E1161" i="8"/>
  <c r="D1161" i="8"/>
  <c r="C1161" i="8"/>
  <c r="B1161" i="8"/>
  <c r="A1161" i="8"/>
  <c r="F1160" i="8"/>
  <c r="E1160" i="8"/>
  <c r="D1160" i="8"/>
  <c r="C1160" i="8"/>
  <c r="B1160" i="8"/>
  <c r="A1160" i="8"/>
  <c r="F1159" i="8"/>
  <c r="E1159" i="8"/>
  <c r="D1159" i="8"/>
  <c r="C1159" i="8"/>
  <c r="B1159" i="8"/>
  <c r="A1159" i="8"/>
  <c r="F1158" i="8"/>
  <c r="E1158" i="8"/>
  <c r="D1158" i="8"/>
  <c r="C1158" i="8"/>
  <c r="B1158" i="8"/>
  <c r="A1158" i="8"/>
  <c r="F1157" i="8"/>
  <c r="E1157" i="8"/>
  <c r="D1157" i="8"/>
  <c r="C1157" i="8"/>
  <c r="B1157" i="8"/>
  <c r="A1157" i="8"/>
  <c r="F1156" i="8"/>
  <c r="E1156" i="8"/>
  <c r="D1156" i="8"/>
  <c r="C1156" i="8"/>
  <c r="B1156" i="8"/>
  <c r="A1156" i="8"/>
  <c r="F1155" i="8"/>
  <c r="E1155" i="8"/>
  <c r="D1155" i="8"/>
  <c r="C1155" i="8"/>
  <c r="B1155" i="8"/>
  <c r="A1155" i="8"/>
  <c r="F1154" i="8"/>
  <c r="E1154" i="8"/>
  <c r="D1154" i="8"/>
  <c r="C1154" i="8"/>
  <c r="B1154" i="8"/>
  <c r="A1154" i="8"/>
  <c r="F1153" i="8"/>
  <c r="E1153" i="8"/>
  <c r="D1153" i="8"/>
  <c r="C1153" i="8"/>
  <c r="B1153" i="8"/>
  <c r="A1153" i="8"/>
  <c r="F1152" i="8"/>
  <c r="E1152" i="8"/>
  <c r="D1152" i="8"/>
  <c r="C1152" i="8"/>
  <c r="B1152" i="8"/>
  <c r="A1152" i="8"/>
  <c r="G1151" i="8"/>
  <c r="E1151" i="8"/>
  <c r="D1151" i="8"/>
  <c r="C1151" i="8"/>
  <c r="B1151" i="8"/>
  <c r="F1150" i="8"/>
  <c r="E1150" i="8"/>
  <c r="D1150" i="8"/>
  <c r="C1150" i="8"/>
  <c r="B1150" i="8"/>
  <c r="A1150" i="8"/>
  <c r="F1149" i="8"/>
  <c r="E1149" i="8"/>
  <c r="D1149" i="8"/>
  <c r="C1149" i="8"/>
  <c r="B1149" i="8"/>
  <c r="A1149" i="8"/>
  <c r="F1148" i="8"/>
  <c r="E1148" i="8"/>
  <c r="D1148" i="8"/>
  <c r="C1148" i="8"/>
  <c r="B1148" i="8"/>
  <c r="A1148" i="8"/>
  <c r="F1147" i="8"/>
  <c r="E1147" i="8"/>
  <c r="D1147" i="8"/>
  <c r="C1147" i="8"/>
  <c r="B1147" i="8"/>
  <c r="A1147" i="8"/>
  <c r="F1146" i="8"/>
  <c r="E1146" i="8"/>
  <c r="D1146" i="8"/>
  <c r="C1146" i="8"/>
  <c r="B1146" i="8"/>
  <c r="A1146" i="8"/>
  <c r="F1145" i="8"/>
  <c r="E1145" i="8"/>
  <c r="D1145" i="8"/>
  <c r="C1145" i="8"/>
  <c r="B1145" i="8"/>
  <c r="A1145" i="8"/>
  <c r="F1144" i="8"/>
  <c r="E1144" i="8"/>
  <c r="D1144" i="8"/>
  <c r="C1144" i="8"/>
  <c r="B1144" i="8"/>
  <c r="A1144" i="8"/>
  <c r="F1143" i="8"/>
  <c r="E1143" i="8"/>
  <c r="D1143" i="8"/>
  <c r="C1143" i="8"/>
  <c r="B1143" i="8"/>
  <c r="A1143" i="8"/>
  <c r="F1142" i="8"/>
  <c r="E1142" i="8"/>
  <c r="D1142" i="8"/>
  <c r="C1142" i="8"/>
  <c r="B1142" i="8"/>
  <c r="A1142" i="8"/>
  <c r="F1141" i="8"/>
  <c r="E1141" i="8"/>
  <c r="D1141" i="8"/>
  <c r="C1141" i="8"/>
  <c r="B1141" i="8"/>
  <c r="A1141" i="8"/>
  <c r="G1141" i="8" s="1"/>
  <c r="F1140" i="8"/>
  <c r="E1140" i="8"/>
  <c r="D1140" i="8"/>
  <c r="C1140" i="8"/>
  <c r="B1140" i="8"/>
  <c r="A1140" i="8"/>
  <c r="G1140" i="8" s="1"/>
  <c r="F1139" i="8"/>
  <c r="E1139" i="8"/>
  <c r="D1139" i="8"/>
  <c r="C1139" i="8"/>
  <c r="B1139" i="8"/>
  <c r="A1139" i="8"/>
  <c r="F1138" i="8"/>
  <c r="E1138" i="8"/>
  <c r="D1138" i="8"/>
  <c r="C1138" i="8"/>
  <c r="B1138" i="8"/>
  <c r="A1138" i="8"/>
  <c r="F1137" i="8"/>
  <c r="E1137" i="8"/>
  <c r="D1137" i="8"/>
  <c r="C1137" i="8"/>
  <c r="B1137" i="8"/>
  <c r="A1137" i="8"/>
  <c r="F1136" i="8"/>
  <c r="E1136" i="8"/>
  <c r="D1136" i="8"/>
  <c r="C1136" i="8"/>
  <c r="B1136" i="8"/>
  <c r="A1136" i="8"/>
  <c r="F1135" i="8"/>
  <c r="E1135" i="8"/>
  <c r="D1135" i="8"/>
  <c r="C1135" i="8"/>
  <c r="B1135" i="8"/>
  <c r="A1135" i="8"/>
  <c r="F1134" i="8"/>
  <c r="E1134" i="8"/>
  <c r="D1134" i="8"/>
  <c r="C1134" i="8"/>
  <c r="B1134" i="8"/>
  <c r="A1134" i="8"/>
  <c r="F1133" i="8"/>
  <c r="E1133" i="8"/>
  <c r="D1133" i="8"/>
  <c r="C1133" i="8"/>
  <c r="B1133" i="8"/>
  <c r="A1133" i="8"/>
  <c r="F1132" i="8"/>
  <c r="E1132" i="8"/>
  <c r="D1132" i="8"/>
  <c r="C1132" i="8"/>
  <c r="B1132" i="8"/>
  <c r="A1132" i="8"/>
  <c r="F1131" i="8"/>
  <c r="E1131" i="8"/>
  <c r="D1131" i="8"/>
  <c r="C1131" i="8"/>
  <c r="B1131" i="8"/>
  <c r="A1131" i="8"/>
  <c r="F1130" i="8"/>
  <c r="E1130" i="8"/>
  <c r="D1130" i="8"/>
  <c r="C1130" i="8"/>
  <c r="B1130" i="8"/>
  <c r="A1130" i="8"/>
  <c r="F1129" i="8"/>
  <c r="E1129" i="8"/>
  <c r="D1129" i="8"/>
  <c r="C1129" i="8"/>
  <c r="B1129" i="8"/>
  <c r="A1129" i="8"/>
  <c r="F1128" i="8"/>
  <c r="E1128" i="8"/>
  <c r="D1128" i="8"/>
  <c r="C1128" i="8"/>
  <c r="B1128" i="8"/>
  <c r="A1128" i="8"/>
  <c r="F1127" i="8"/>
  <c r="G1127" i="8" s="1"/>
  <c r="E1127" i="8"/>
  <c r="D1127" i="8"/>
  <c r="C1127" i="8"/>
  <c r="B1127" i="8"/>
  <c r="A1127" i="8"/>
  <c r="F1126" i="8"/>
  <c r="E1126" i="8"/>
  <c r="D1126" i="8"/>
  <c r="C1126" i="8"/>
  <c r="B1126" i="8"/>
  <c r="A1126" i="8"/>
  <c r="F1125" i="8"/>
  <c r="E1125" i="8"/>
  <c r="D1125" i="8"/>
  <c r="C1125" i="8"/>
  <c r="B1125" i="8"/>
  <c r="A1125" i="8"/>
  <c r="F1124" i="8"/>
  <c r="E1124" i="8"/>
  <c r="D1124" i="8"/>
  <c r="C1124" i="8"/>
  <c r="B1124" i="8"/>
  <c r="A1124" i="8"/>
  <c r="F1123" i="8"/>
  <c r="E1123" i="8"/>
  <c r="D1123" i="8"/>
  <c r="C1123" i="8"/>
  <c r="B1123" i="8"/>
  <c r="A1123" i="8"/>
  <c r="F1122" i="8"/>
  <c r="E1122" i="8"/>
  <c r="D1122" i="8"/>
  <c r="C1122" i="8"/>
  <c r="B1122" i="8"/>
  <c r="A1122" i="8"/>
  <c r="F1121" i="8"/>
  <c r="E1121" i="8"/>
  <c r="D1121" i="8"/>
  <c r="C1121" i="8"/>
  <c r="B1121" i="8"/>
  <c r="A1121" i="8"/>
  <c r="F1120" i="8"/>
  <c r="E1120" i="8"/>
  <c r="D1120" i="8"/>
  <c r="C1120" i="8"/>
  <c r="B1120" i="8"/>
  <c r="A1120" i="8"/>
  <c r="F1119" i="8"/>
  <c r="E1119" i="8"/>
  <c r="D1119" i="8"/>
  <c r="C1119" i="8"/>
  <c r="B1119" i="8"/>
  <c r="A1119" i="8"/>
  <c r="F1118" i="8"/>
  <c r="E1118" i="8"/>
  <c r="D1118" i="8"/>
  <c r="C1118" i="8"/>
  <c r="B1118" i="8"/>
  <c r="A1118" i="8"/>
  <c r="F1117" i="8"/>
  <c r="E1117" i="8"/>
  <c r="D1117" i="8"/>
  <c r="C1117" i="8"/>
  <c r="B1117" i="8"/>
  <c r="A1117" i="8"/>
  <c r="F1116" i="8"/>
  <c r="E1116" i="8"/>
  <c r="D1116" i="8"/>
  <c r="C1116" i="8"/>
  <c r="B1116" i="8"/>
  <c r="A1116" i="8"/>
  <c r="F1115" i="8"/>
  <c r="G1115" i="8" s="1"/>
  <c r="E1115" i="8"/>
  <c r="D1115" i="8"/>
  <c r="C1115" i="8"/>
  <c r="B1115" i="8"/>
  <c r="A1115" i="8"/>
  <c r="F1114" i="8"/>
  <c r="E1114" i="8"/>
  <c r="D1114" i="8"/>
  <c r="C1114" i="8"/>
  <c r="B1114" i="8"/>
  <c r="A1114" i="8"/>
  <c r="F1113" i="8"/>
  <c r="E1113" i="8"/>
  <c r="D1113" i="8"/>
  <c r="C1113" i="8"/>
  <c r="B1113" i="8"/>
  <c r="A1113" i="8"/>
  <c r="F1112" i="8"/>
  <c r="E1112" i="8"/>
  <c r="D1112" i="8"/>
  <c r="C1112" i="8"/>
  <c r="B1112" i="8"/>
  <c r="A1112" i="8"/>
  <c r="F1111" i="8"/>
  <c r="E1111" i="8"/>
  <c r="D1111" i="8"/>
  <c r="C1111" i="8"/>
  <c r="B1111" i="8"/>
  <c r="A1111" i="8"/>
  <c r="F1110" i="8"/>
  <c r="E1110" i="8"/>
  <c r="D1110" i="8"/>
  <c r="C1110" i="8"/>
  <c r="B1110" i="8"/>
  <c r="A1110" i="8"/>
  <c r="F1109" i="8"/>
  <c r="E1109" i="8"/>
  <c r="D1109" i="8"/>
  <c r="C1109" i="8"/>
  <c r="B1109" i="8"/>
  <c r="A1109" i="8"/>
  <c r="F1108" i="8"/>
  <c r="E1108" i="8"/>
  <c r="D1108" i="8"/>
  <c r="C1108" i="8"/>
  <c r="B1108" i="8"/>
  <c r="A1108" i="8"/>
  <c r="F1107" i="8"/>
  <c r="G1107" i="8" s="1"/>
  <c r="E1107" i="8"/>
  <c r="D1107" i="8"/>
  <c r="C1107" i="8"/>
  <c r="B1107" i="8"/>
  <c r="A1107" i="8"/>
  <c r="F1106" i="8"/>
  <c r="E1106" i="8"/>
  <c r="D1106" i="8"/>
  <c r="C1106" i="8"/>
  <c r="B1106" i="8"/>
  <c r="A1106" i="8"/>
  <c r="F1105" i="8"/>
  <c r="E1105" i="8"/>
  <c r="D1105" i="8"/>
  <c r="C1105" i="8"/>
  <c r="B1105" i="8"/>
  <c r="A1105" i="8"/>
  <c r="F1104" i="8"/>
  <c r="E1104" i="8"/>
  <c r="D1104" i="8"/>
  <c r="C1104" i="8"/>
  <c r="B1104" i="8"/>
  <c r="A1104" i="8"/>
  <c r="F1103" i="8"/>
  <c r="E1103" i="8"/>
  <c r="D1103" i="8"/>
  <c r="C1103" i="8"/>
  <c r="B1103" i="8"/>
  <c r="A1103" i="8"/>
  <c r="F1102" i="8"/>
  <c r="E1102" i="8"/>
  <c r="D1102" i="8"/>
  <c r="C1102" i="8"/>
  <c r="B1102" i="8"/>
  <c r="A1102" i="8"/>
  <c r="F1101" i="8"/>
  <c r="E1101" i="8"/>
  <c r="D1101" i="8"/>
  <c r="C1101" i="8"/>
  <c r="B1101" i="8"/>
  <c r="A1101" i="8"/>
  <c r="F1100" i="8"/>
  <c r="E1100" i="8"/>
  <c r="D1100" i="8"/>
  <c r="C1100" i="8"/>
  <c r="B1100" i="8"/>
  <c r="A1100" i="8"/>
  <c r="F1099" i="8"/>
  <c r="E1099" i="8"/>
  <c r="D1099" i="8"/>
  <c r="C1099" i="8"/>
  <c r="B1099" i="8"/>
  <c r="A1099" i="8"/>
  <c r="F1098" i="8"/>
  <c r="E1098" i="8"/>
  <c r="D1098" i="8"/>
  <c r="C1098" i="8"/>
  <c r="B1098" i="8"/>
  <c r="A1098" i="8"/>
  <c r="F1097" i="8"/>
  <c r="E1097" i="8"/>
  <c r="D1097" i="8"/>
  <c r="C1097" i="8"/>
  <c r="B1097" i="8"/>
  <c r="A1097" i="8"/>
  <c r="F1096" i="8"/>
  <c r="E1096" i="8"/>
  <c r="D1096" i="8"/>
  <c r="C1096" i="8"/>
  <c r="B1096" i="8"/>
  <c r="A1096" i="8"/>
  <c r="F1095" i="8"/>
  <c r="G1095" i="8" s="1"/>
  <c r="E1095" i="8"/>
  <c r="D1095" i="8"/>
  <c r="C1095" i="8"/>
  <c r="B1095" i="8"/>
  <c r="A1095" i="8"/>
  <c r="F1094" i="8"/>
  <c r="E1094" i="8"/>
  <c r="D1094" i="8"/>
  <c r="C1094" i="8"/>
  <c r="B1094" i="8"/>
  <c r="A1094" i="8"/>
  <c r="F1093" i="8"/>
  <c r="E1093" i="8"/>
  <c r="D1093" i="8"/>
  <c r="C1093" i="8"/>
  <c r="B1093" i="8"/>
  <c r="A1093" i="8"/>
  <c r="F1092" i="8"/>
  <c r="E1092" i="8"/>
  <c r="D1092" i="8"/>
  <c r="C1092" i="8"/>
  <c r="B1092" i="8"/>
  <c r="A1092" i="8"/>
  <c r="G1092" i="8" s="1"/>
  <c r="F1091" i="8"/>
  <c r="G1091" i="8" s="1"/>
  <c r="E1091" i="8"/>
  <c r="D1091" i="8"/>
  <c r="C1091" i="8"/>
  <c r="B1091" i="8"/>
  <c r="A1091" i="8"/>
  <c r="F1090" i="8"/>
  <c r="E1090" i="8"/>
  <c r="D1090" i="8"/>
  <c r="C1090" i="8"/>
  <c r="B1090" i="8"/>
  <c r="A1090" i="8"/>
  <c r="F1089" i="8"/>
  <c r="E1089" i="8"/>
  <c r="D1089" i="8"/>
  <c r="C1089" i="8"/>
  <c r="B1089" i="8"/>
  <c r="A1089" i="8"/>
  <c r="F1088" i="8"/>
  <c r="E1088" i="8"/>
  <c r="D1088" i="8"/>
  <c r="C1088" i="8"/>
  <c r="B1088" i="8"/>
  <c r="A1088" i="8"/>
  <c r="F1087" i="8"/>
  <c r="E1087" i="8"/>
  <c r="D1087" i="8"/>
  <c r="C1087" i="8"/>
  <c r="B1087" i="8"/>
  <c r="A1087" i="8"/>
  <c r="F1086" i="8"/>
  <c r="E1086" i="8"/>
  <c r="D1086" i="8"/>
  <c r="C1086" i="8"/>
  <c r="B1086" i="8"/>
  <c r="A1086" i="8"/>
  <c r="F1085" i="8"/>
  <c r="E1085" i="8"/>
  <c r="D1085" i="8"/>
  <c r="C1085" i="8"/>
  <c r="B1085" i="8"/>
  <c r="A1085" i="8"/>
  <c r="F1084" i="8"/>
  <c r="E1084" i="8"/>
  <c r="D1084" i="8"/>
  <c r="C1084" i="8"/>
  <c r="B1084" i="8"/>
  <c r="A1084" i="8"/>
  <c r="F1083" i="8"/>
  <c r="E1083" i="8"/>
  <c r="D1083" i="8"/>
  <c r="C1083" i="8"/>
  <c r="B1083" i="8"/>
  <c r="A1083" i="8"/>
  <c r="F1082" i="8"/>
  <c r="E1082" i="8"/>
  <c r="D1082" i="8"/>
  <c r="C1082" i="8"/>
  <c r="B1082" i="8"/>
  <c r="A1082" i="8"/>
  <c r="F1081" i="8"/>
  <c r="E1081" i="8"/>
  <c r="D1081" i="8"/>
  <c r="C1081" i="8"/>
  <c r="B1081" i="8"/>
  <c r="A1081" i="8"/>
  <c r="F1080" i="8"/>
  <c r="E1080" i="8"/>
  <c r="D1080" i="8"/>
  <c r="C1080" i="8"/>
  <c r="B1080" i="8"/>
  <c r="A1080" i="8"/>
  <c r="F1079" i="8"/>
  <c r="E1079" i="8"/>
  <c r="D1079" i="8"/>
  <c r="C1079" i="8"/>
  <c r="B1079" i="8"/>
  <c r="A1079" i="8"/>
  <c r="F1078" i="8"/>
  <c r="E1078" i="8"/>
  <c r="D1078" i="8"/>
  <c r="C1078" i="8"/>
  <c r="B1078" i="8"/>
  <c r="A1078" i="8"/>
  <c r="F1077" i="8"/>
  <c r="E1077" i="8"/>
  <c r="D1077" i="8"/>
  <c r="C1077" i="8"/>
  <c r="B1077" i="8"/>
  <c r="A1077" i="8"/>
  <c r="F1076" i="8"/>
  <c r="G1076" i="8" s="1"/>
  <c r="E1076" i="8"/>
  <c r="D1076" i="8"/>
  <c r="C1076" i="8"/>
  <c r="B1076" i="8"/>
  <c r="A1076" i="8"/>
  <c r="F1075" i="8"/>
  <c r="E1075" i="8"/>
  <c r="D1075" i="8"/>
  <c r="C1075" i="8"/>
  <c r="B1075" i="8"/>
  <c r="A1075" i="8"/>
  <c r="F1074" i="8"/>
  <c r="E1074" i="8"/>
  <c r="D1074" i="8"/>
  <c r="C1074" i="8"/>
  <c r="B1074" i="8"/>
  <c r="A1074" i="8"/>
  <c r="F1073" i="8"/>
  <c r="E1073" i="8"/>
  <c r="D1073" i="8"/>
  <c r="C1073" i="8"/>
  <c r="B1073" i="8"/>
  <c r="A1073" i="8"/>
  <c r="F1072" i="8"/>
  <c r="E1072" i="8"/>
  <c r="D1072" i="8"/>
  <c r="C1072" i="8"/>
  <c r="B1072" i="8"/>
  <c r="A1072" i="8"/>
  <c r="F1071" i="8"/>
  <c r="E1071" i="8"/>
  <c r="D1071" i="8"/>
  <c r="C1071" i="8"/>
  <c r="B1071" i="8"/>
  <c r="A1071" i="8"/>
  <c r="F1070" i="8"/>
  <c r="E1070" i="8"/>
  <c r="D1070" i="8"/>
  <c r="C1070" i="8"/>
  <c r="B1070" i="8"/>
  <c r="A1070" i="8"/>
  <c r="F1069" i="8"/>
  <c r="E1069" i="8"/>
  <c r="D1069" i="8"/>
  <c r="C1069" i="8"/>
  <c r="B1069" i="8"/>
  <c r="A1069" i="8"/>
  <c r="F1068" i="8"/>
  <c r="E1068" i="8"/>
  <c r="D1068" i="8"/>
  <c r="C1068" i="8"/>
  <c r="B1068" i="8"/>
  <c r="A1068" i="8"/>
  <c r="F1067" i="8"/>
  <c r="A1067" i="8"/>
  <c r="F1066" i="8"/>
  <c r="A1066" i="8"/>
  <c r="F1065" i="8"/>
  <c r="E1065" i="8"/>
  <c r="D1065" i="8"/>
  <c r="C1065" i="8"/>
  <c r="B1065" i="8"/>
  <c r="A1065" i="8"/>
  <c r="F1064" i="8"/>
  <c r="E1064" i="8"/>
  <c r="D1064" i="8"/>
  <c r="C1064" i="8"/>
  <c r="B1064" i="8"/>
  <c r="A1064" i="8"/>
  <c r="F1063" i="8"/>
  <c r="E1063" i="8"/>
  <c r="D1063" i="8"/>
  <c r="C1063" i="8"/>
  <c r="B1063" i="8"/>
  <c r="A1063" i="8"/>
  <c r="F1062" i="8"/>
  <c r="E1062" i="8"/>
  <c r="D1062" i="8"/>
  <c r="C1062" i="8"/>
  <c r="B1062" i="8"/>
  <c r="A1062" i="8"/>
  <c r="F1061" i="8"/>
  <c r="A1061" i="8"/>
  <c r="F1060" i="8"/>
  <c r="E1060" i="8"/>
  <c r="D1060" i="8"/>
  <c r="C1060" i="8"/>
  <c r="B1060" i="8"/>
  <c r="A1060" i="8"/>
  <c r="F1059" i="8"/>
  <c r="E1059" i="8"/>
  <c r="D1059" i="8"/>
  <c r="C1059" i="8"/>
  <c r="B1059" i="8"/>
  <c r="A1059" i="8"/>
  <c r="F1058" i="8"/>
  <c r="E1058" i="8"/>
  <c r="D1058" i="8"/>
  <c r="C1058" i="8"/>
  <c r="B1058" i="8"/>
  <c r="A1058" i="8"/>
  <c r="F1057" i="8"/>
  <c r="E1057" i="8"/>
  <c r="D1057" i="8"/>
  <c r="C1057" i="8"/>
  <c r="B1057" i="8"/>
  <c r="A1057" i="8"/>
  <c r="F1056" i="8"/>
  <c r="E1056" i="8"/>
  <c r="D1056" i="8"/>
  <c r="C1056" i="8"/>
  <c r="B1056" i="8"/>
  <c r="A1056" i="8"/>
  <c r="F1055" i="8"/>
  <c r="E1055" i="8"/>
  <c r="D1055" i="8"/>
  <c r="C1055" i="8"/>
  <c r="B1055" i="8"/>
  <c r="A1055" i="8"/>
  <c r="G1054" i="8"/>
  <c r="G1053" i="8"/>
  <c r="F1052" i="8"/>
  <c r="E1052" i="8"/>
  <c r="D1052" i="8"/>
  <c r="C1052" i="8"/>
  <c r="B1052" i="8"/>
  <c r="A1052" i="8"/>
  <c r="F1051" i="8"/>
  <c r="A1051" i="8"/>
  <c r="G1051" i="8" s="1"/>
  <c r="F1050" i="8"/>
  <c r="E1050" i="8"/>
  <c r="D1050" i="8"/>
  <c r="C1050" i="8"/>
  <c r="B1050" i="8"/>
  <c r="A1050" i="8"/>
  <c r="F1049" i="8"/>
  <c r="E1049" i="8"/>
  <c r="D1049" i="8"/>
  <c r="C1049" i="8"/>
  <c r="B1049" i="8"/>
  <c r="A1049" i="8"/>
  <c r="G1049" i="8" s="1"/>
  <c r="F1048" i="8"/>
  <c r="E1048" i="8"/>
  <c r="D1048" i="8"/>
  <c r="C1048" i="8"/>
  <c r="B1048" i="8"/>
  <c r="A1048" i="8"/>
  <c r="F1047" i="8"/>
  <c r="E1047" i="8"/>
  <c r="D1047" i="8"/>
  <c r="C1047" i="8"/>
  <c r="B1047" i="8"/>
  <c r="A1047" i="8"/>
  <c r="F1046" i="8"/>
  <c r="E1046" i="8"/>
  <c r="D1046" i="8"/>
  <c r="C1046" i="8"/>
  <c r="B1046" i="8"/>
  <c r="A1046" i="8"/>
  <c r="F1045" i="8"/>
  <c r="A1045" i="8"/>
  <c r="F1044" i="8"/>
  <c r="A1044" i="8"/>
  <c r="F1043" i="8"/>
  <c r="G1043" i="8" s="1"/>
  <c r="E1043" i="8"/>
  <c r="D1043" i="8"/>
  <c r="C1043" i="8"/>
  <c r="B1043" i="8"/>
  <c r="A1043" i="8"/>
  <c r="F1042" i="8"/>
  <c r="E1042" i="8"/>
  <c r="D1042" i="8"/>
  <c r="C1042" i="8"/>
  <c r="B1042" i="8"/>
  <c r="A1042" i="8"/>
  <c r="F1041" i="8"/>
  <c r="E1041" i="8"/>
  <c r="D1041" i="8"/>
  <c r="C1041" i="8"/>
  <c r="B1041" i="8"/>
  <c r="A1041" i="8"/>
  <c r="F1040" i="8"/>
  <c r="E1040" i="8"/>
  <c r="D1040" i="8"/>
  <c r="C1040" i="8"/>
  <c r="B1040" i="8"/>
  <c r="A1040" i="8"/>
  <c r="F1039" i="8"/>
  <c r="A1039" i="8"/>
  <c r="F1038" i="8"/>
  <c r="E1038" i="8"/>
  <c r="D1038" i="8"/>
  <c r="C1038" i="8"/>
  <c r="B1038" i="8"/>
  <c r="A1038" i="8"/>
  <c r="F1037" i="8"/>
  <c r="E1037" i="8"/>
  <c r="D1037" i="8"/>
  <c r="C1037" i="8"/>
  <c r="B1037" i="8"/>
  <c r="A1037" i="8"/>
  <c r="F1036" i="8"/>
  <c r="E1036" i="8"/>
  <c r="D1036" i="8"/>
  <c r="C1036" i="8"/>
  <c r="B1036" i="8"/>
  <c r="A1036" i="8"/>
  <c r="F1035" i="8"/>
  <c r="E1035" i="8"/>
  <c r="D1035" i="8"/>
  <c r="C1035" i="8"/>
  <c r="B1035" i="8"/>
  <c r="A1035" i="8"/>
  <c r="F1034" i="8"/>
  <c r="E1034" i="8"/>
  <c r="D1034" i="8"/>
  <c r="C1034" i="8"/>
  <c r="B1034" i="8"/>
  <c r="A1034" i="8"/>
  <c r="F1033" i="8"/>
  <c r="E1033" i="8"/>
  <c r="D1033" i="8"/>
  <c r="C1033" i="8"/>
  <c r="B1033" i="8"/>
  <c r="A1033" i="8"/>
  <c r="F1032" i="8"/>
  <c r="E1032" i="8"/>
  <c r="D1032" i="8"/>
  <c r="C1032" i="8"/>
  <c r="B1032" i="8"/>
  <c r="A1032" i="8"/>
  <c r="F1031" i="8"/>
  <c r="E1031" i="8"/>
  <c r="D1031" i="8"/>
  <c r="C1031" i="8"/>
  <c r="B1031" i="8"/>
  <c r="A1031" i="8"/>
  <c r="F1030" i="8"/>
  <c r="E1030" i="8"/>
  <c r="D1030" i="8"/>
  <c r="C1030" i="8"/>
  <c r="B1030" i="8"/>
  <c r="A1030" i="8"/>
  <c r="F1029" i="8"/>
  <c r="E1029" i="8"/>
  <c r="D1029" i="8"/>
  <c r="C1029" i="8"/>
  <c r="B1029" i="8"/>
  <c r="A1029" i="8"/>
  <c r="F1028" i="8"/>
  <c r="E1028" i="8"/>
  <c r="D1028" i="8"/>
  <c r="C1028" i="8"/>
  <c r="B1028" i="8"/>
  <c r="A1028" i="8"/>
  <c r="F1027" i="8"/>
  <c r="E1027" i="8"/>
  <c r="D1027" i="8"/>
  <c r="C1027" i="8"/>
  <c r="B1027" i="8"/>
  <c r="A1027" i="8"/>
  <c r="F1026" i="8"/>
  <c r="E1026" i="8"/>
  <c r="D1026" i="8"/>
  <c r="C1026" i="8"/>
  <c r="B1026" i="8"/>
  <c r="A1026" i="8"/>
  <c r="F1025" i="8"/>
  <c r="E1025" i="8"/>
  <c r="D1025" i="8"/>
  <c r="C1025" i="8"/>
  <c r="B1025" i="8"/>
  <c r="A1025" i="8"/>
  <c r="F1024" i="8"/>
  <c r="E1024" i="8"/>
  <c r="D1024" i="8"/>
  <c r="C1024" i="8"/>
  <c r="B1024" i="8"/>
  <c r="A1024" i="8"/>
  <c r="F1023" i="8"/>
  <c r="E1023" i="8"/>
  <c r="D1023" i="8"/>
  <c r="C1023" i="8"/>
  <c r="B1023" i="8"/>
  <c r="A1023" i="8"/>
  <c r="F1022" i="8"/>
  <c r="E1022" i="8"/>
  <c r="D1022" i="8"/>
  <c r="C1022" i="8"/>
  <c r="B1022" i="8"/>
  <c r="A1022" i="8"/>
  <c r="F1021" i="8"/>
  <c r="E1021" i="8"/>
  <c r="D1021" i="8"/>
  <c r="C1021" i="8"/>
  <c r="B1021" i="8"/>
  <c r="A1021" i="8"/>
  <c r="F1020" i="8"/>
  <c r="E1020" i="8"/>
  <c r="D1020" i="8"/>
  <c r="C1020" i="8"/>
  <c r="B1020" i="8"/>
  <c r="A1020" i="8"/>
  <c r="F1019" i="8"/>
  <c r="E1019" i="8"/>
  <c r="D1019" i="8"/>
  <c r="C1019" i="8"/>
  <c r="B1019" i="8"/>
  <c r="A1019" i="8"/>
  <c r="F1018" i="8"/>
  <c r="E1018" i="8"/>
  <c r="D1018" i="8"/>
  <c r="C1018" i="8"/>
  <c r="B1018" i="8"/>
  <c r="A1018" i="8"/>
  <c r="F1017" i="8"/>
  <c r="E1017" i="8"/>
  <c r="D1017" i="8"/>
  <c r="C1017" i="8"/>
  <c r="B1017" i="8"/>
  <c r="A1017" i="8"/>
  <c r="F1016" i="8"/>
  <c r="G1016" i="8" s="1"/>
  <c r="E1016" i="8"/>
  <c r="D1016" i="8"/>
  <c r="C1016" i="8"/>
  <c r="B1016" i="8"/>
  <c r="A1016" i="8"/>
  <c r="F1015" i="8"/>
  <c r="E1015" i="8"/>
  <c r="D1015" i="8"/>
  <c r="C1015" i="8"/>
  <c r="B1015" i="8"/>
  <c r="A1015" i="8"/>
  <c r="F1014" i="8"/>
  <c r="E1014" i="8"/>
  <c r="D1014" i="8"/>
  <c r="C1014" i="8"/>
  <c r="B1014" i="8"/>
  <c r="A1014" i="8"/>
  <c r="F1013" i="8"/>
  <c r="E1013" i="8"/>
  <c r="D1013" i="8"/>
  <c r="C1013" i="8"/>
  <c r="B1013" i="8"/>
  <c r="A1013" i="8"/>
  <c r="F1012" i="8"/>
  <c r="E1012" i="8"/>
  <c r="D1012" i="8"/>
  <c r="C1012" i="8"/>
  <c r="B1012" i="8"/>
  <c r="A1012" i="8"/>
  <c r="F1011" i="8"/>
  <c r="G1011" i="8" s="1"/>
  <c r="E1011" i="8"/>
  <c r="D1011" i="8"/>
  <c r="C1011" i="8"/>
  <c r="B1011" i="8"/>
  <c r="A1011" i="8"/>
  <c r="F1010" i="8"/>
  <c r="E1010" i="8"/>
  <c r="D1010" i="8"/>
  <c r="C1010" i="8"/>
  <c r="B1010" i="8"/>
  <c r="A1010" i="8"/>
  <c r="F1009" i="8"/>
  <c r="E1009" i="8"/>
  <c r="D1009" i="8"/>
  <c r="C1009" i="8"/>
  <c r="B1009" i="8"/>
  <c r="A1009" i="8"/>
  <c r="F1008" i="8"/>
  <c r="E1008" i="8"/>
  <c r="D1008" i="8"/>
  <c r="C1008" i="8"/>
  <c r="B1008" i="8"/>
  <c r="A1008" i="8"/>
  <c r="F1007" i="8"/>
  <c r="E1007" i="8"/>
  <c r="D1007" i="8"/>
  <c r="C1007" i="8"/>
  <c r="B1007" i="8"/>
  <c r="A1007" i="8"/>
  <c r="F1006" i="8"/>
  <c r="E1006" i="8"/>
  <c r="D1006" i="8"/>
  <c r="C1006" i="8"/>
  <c r="B1006" i="8"/>
  <c r="A1006" i="8"/>
  <c r="F1005" i="8"/>
  <c r="E1005" i="8"/>
  <c r="D1005" i="8"/>
  <c r="C1005" i="8"/>
  <c r="B1005" i="8"/>
  <c r="A1005" i="8"/>
  <c r="F1004" i="8"/>
  <c r="E1004" i="8"/>
  <c r="D1004" i="8"/>
  <c r="C1004" i="8"/>
  <c r="B1004" i="8"/>
  <c r="A1004" i="8"/>
  <c r="F1003" i="8"/>
  <c r="E1003" i="8"/>
  <c r="D1003" i="8"/>
  <c r="C1003" i="8"/>
  <c r="B1003" i="8"/>
  <c r="A1003" i="8"/>
  <c r="F1002" i="8"/>
  <c r="E1002" i="8"/>
  <c r="D1002" i="8"/>
  <c r="C1002" i="8"/>
  <c r="B1002" i="8"/>
  <c r="A1002" i="8"/>
  <c r="F1001" i="8"/>
  <c r="E1001" i="8"/>
  <c r="D1001" i="8"/>
  <c r="C1001" i="8"/>
  <c r="B1001" i="8"/>
  <c r="A1001" i="8"/>
  <c r="F1000" i="8"/>
  <c r="E1000" i="8"/>
  <c r="D1000" i="8"/>
  <c r="C1000" i="8"/>
  <c r="B1000" i="8"/>
  <c r="A1000" i="8"/>
  <c r="F999" i="8"/>
  <c r="E999" i="8"/>
  <c r="D999" i="8"/>
  <c r="C999" i="8"/>
  <c r="B999" i="8"/>
  <c r="A999" i="8"/>
  <c r="F998" i="8"/>
  <c r="E998" i="8"/>
  <c r="D998" i="8"/>
  <c r="C998" i="8"/>
  <c r="B998" i="8"/>
  <c r="A998" i="8"/>
  <c r="F997" i="8"/>
  <c r="E997" i="8"/>
  <c r="D997" i="8"/>
  <c r="C997" i="8"/>
  <c r="B997" i="8"/>
  <c r="A997" i="8"/>
  <c r="F996" i="8"/>
  <c r="E996" i="8"/>
  <c r="D996" i="8"/>
  <c r="C996" i="8"/>
  <c r="B996" i="8"/>
  <c r="A996" i="8"/>
  <c r="F995" i="8"/>
  <c r="E995" i="8"/>
  <c r="D995" i="8"/>
  <c r="C995" i="8"/>
  <c r="B995" i="8"/>
  <c r="A995" i="8"/>
  <c r="F994" i="8"/>
  <c r="E994" i="8"/>
  <c r="D994" i="8"/>
  <c r="C994" i="8"/>
  <c r="B994" i="8"/>
  <c r="A994" i="8"/>
  <c r="F993" i="8"/>
  <c r="E993" i="8"/>
  <c r="D993" i="8"/>
  <c r="C993" i="8"/>
  <c r="B993" i="8"/>
  <c r="A993" i="8"/>
  <c r="F992" i="8"/>
  <c r="E992" i="8"/>
  <c r="D992" i="8"/>
  <c r="C992" i="8"/>
  <c r="B992" i="8"/>
  <c r="A992" i="8"/>
  <c r="F991" i="8"/>
  <c r="E991" i="8"/>
  <c r="D991" i="8"/>
  <c r="C991" i="8"/>
  <c r="B991" i="8"/>
  <c r="A991" i="8"/>
  <c r="F990" i="8"/>
  <c r="E990" i="8"/>
  <c r="D990" i="8"/>
  <c r="C990" i="8"/>
  <c r="B990" i="8"/>
  <c r="A990" i="8"/>
  <c r="F989" i="8"/>
  <c r="E989" i="8"/>
  <c r="D989" i="8"/>
  <c r="C989" i="8"/>
  <c r="B989" i="8"/>
  <c r="A989" i="8"/>
  <c r="F988" i="8"/>
  <c r="E988" i="8"/>
  <c r="D988" i="8"/>
  <c r="C988" i="8"/>
  <c r="B988" i="8"/>
  <c r="A988" i="8"/>
  <c r="F987" i="8"/>
  <c r="G987" i="8" s="1"/>
  <c r="E987" i="8"/>
  <c r="D987" i="8"/>
  <c r="C987" i="8"/>
  <c r="B987" i="8"/>
  <c r="A987" i="8"/>
  <c r="F986" i="8"/>
  <c r="E986" i="8"/>
  <c r="D986" i="8"/>
  <c r="C986" i="8"/>
  <c r="B986" i="8"/>
  <c r="A986" i="8"/>
  <c r="F985" i="8"/>
  <c r="E985" i="8"/>
  <c r="D985" i="8"/>
  <c r="C985" i="8"/>
  <c r="B985" i="8"/>
  <c r="A985" i="8"/>
  <c r="F984" i="8"/>
  <c r="G984" i="8" s="1"/>
  <c r="E984" i="8"/>
  <c r="D984" i="8"/>
  <c r="C984" i="8"/>
  <c r="B984" i="8"/>
  <c r="A984" i="8"/>
  <c r="F983" i="8"/>
  <c r="E983" i="8"/>
  <c r="D983" i="8"/>
  <c r="C983" i="8"/>
  <c r="B983" i="8"/>
  <c r="A983" i="8"/>
  <c r="F982" i="8"/>
  <c r="E982" i="8"/>
  <c r="D982" i="8"/>
  <c r="C982" i="8"/>
  <c r="B982" i="8"/>
  <c r="A982" i="8"/>
  <c r="F981" i="8"/>
  <c r="E981" i="8"/>
  <c r="D981" i="8"/>
  <c r="C981" i="8"/>
  <c r="B981" i="8"/>
  <c r="A981" i="8"/>
  <c r="F980" i="8"/>
  <c r="G980" i="8" s="1"/>
  <c r="E980" i="8"/>
  <c r="D980" i="8"/>
  <c r="C980" i="8"/>
  <c r="B980" i="8"/>
  <c r="A980" i="8"/>
  <c r="F979" i="8"/>
  <c r="E979" i="8"/>
  <c r="D979" i="8"/>
  <c r="C979" i="8"/>
  <c r="B979" i="8"/>
  <c r="A979" i="8"/>
  <c r="F978" i="8"/>
  <c r="E978" i="8"/>
  <c r="D978" i="8"/>
  <c r="C978" i="8"/>
  <c r="B978" i="8"/>
  <c r="A978" i="8"/>
  <c r="F977" i="8"/>
  <c r="E977" i="8"/>
  <c r="D977" i="8"/>
  <c r="C977" i="8"/>
  <c r="B977" i="8"/>
  <c r="A977" i="8"/>
  <c r="F976" i="8"/>
  <c r="G976" i="8" s="1"/>
  <c r="E976" i="8"/>
  <c r="D976" i="8"/>
  <c r="C976" i="8"/>
  <c r="B976" i="8"/>
  <c r="A976" i="8"/>
  <c r="F975" i="8"/>
  <c r="E975" i="8"/>
  <c r="D975" i="8"/>
  <c r="C975" i="8"/>
  <c r="A975" i="8"/>
  <c r="F974" i="8"/>
  <c r="E974" i="8"/>
  <c r="D974" i="8"/>
  <c r="C974" i="8"/>
  <c r="B974" i="8"/>
  <c r="A974" i="8"/>
  <c r="F973" i="8"/>
  <c r="E973" i="8"/>
  <c r="D973" i="8"/>
  <c r="C973" i="8"/>
  <c r="B973" i="8"/>
  <c r="A973" i="8"/>
  <c r="G973" i="8" s="1"/>
  <c r="F972" i="8"/>
  <c r="E972" i="8"/>
  <c r="D972" i="8"/>
  <c r="C972" i="8"/>
  <c r="B972" i="8"/>
  <c r="A972" i="8"/>
  <c r="F971" i="8"/>
  <c r="E971" i="8"/>
  <c r="D971" i="8"/>
  <c r="C971" i="8"/>
  <c r="B971" i="8"/>
  <c r="A971" i="8"/>
  <c r="F970" i="8"/>
  <c r="E970" i="8"/>
  <c r="D970" i="8"/>
  <c r="C970" i="8"/>
  <c r="A970" i="8"/>
  <c r="F969" i="8"/>
  <c r="E969" i="8"/>
  <c r="C969" i="8"/>
  <c r="B969" i="8"/>
  <c r="A969" i="8"/>
  <c r="F968" i="8"/>
  <c r="E968" i="8"/>
  <c r="D968" i="8"/>
  <c r="C968" i="8"/>
  <c r="B968" i="8"/>
  <c r="A968" i="8"/>
  <c r="F967" i="8"/>
  <c r="E967" i="8"/>
  <c r="D967" i="8"/>
  <c r="C967" i="8"/>
  <c r="B967" i="8"/>
  <c r="A967" i="8"/>
  <c r="F966" i="8"/>
  <c r="E966" i="8"/>
  <c r="D966" i="8"/>
  <c r="C966" i="8"/>
  <c r="B966" i="8"/>
  <c r="A966" i="8"/>
  <c r="F965" i="8"/>
  <c r="E965" i="8"/>
  <c r="D965" i="8"/>
  <c r="C965" i="8"/>
  <c r="B965" i="8"/>
  <c r="A965" i="8"/>
  <c r="F964" i="8"/>
  <c r="E964" i="8"/>
  <c r="D964" i="8"/>
  <c r="C964" i="8"/>
  <c r="B964" i="8"/>
  <c r="A964" i="8"/>
  <c r="F963" i="8"/>
  <c r="E963" i="8"/>
  <c r="D963" i="8"/>
  <c r="C963" i="8"/>
  <c r="B963" i="8"/>
  <c r="A963" i="8"/>
  <c r="F962" i="8"/>
  <c r="E962" i="8"/>
  <c r="D962" i="8"/>
  <c r="C962" i="8"/>
  <c r="B962" i="8"/>
  <c r="A962" i="8"/>
  <c r="F961" i="8"/>
  <c r="E961" i="8"/>
  <c r="D961" i="8"/>
  <c r="C961" i="8"/>
  <c r="B961" i="8"/>
  <c r="A961" i="8"/>
  <c r="F960" i="8"/>
  <c r="E960" i="8"/>
  <c r="D960" i="8"/>
  <c r="C960" i="8"/>
  <c r="B960" i="8"/>
  <c r="A960" i="8"/>
  <c r="F959" i="8"/>
  <c r="E959" i="8"/>
  <c r="D959" i="8"/>
  <c r="C959" i="8"/>
  <c r="B959" i="8"/>
  <c r="A959" i="8"/>
  <c r="F958" i="8"/>
  <c r="E958" i="8"/>
  <c r="D958" i="8"/>
  <c r="C958" i="8"/>
  <c r="B958" i="8"/>
  <c r="A958" i="8"/>
  <c r="F957" i="8"/>
  <c r="E957" i="8"/>
  <c r="D957" i="8"/>
  <c r="C957" i="8"/>
  <c r="B957" i="8"/>
  <c r="A957" i="8"/>
  <c r="F956" i="8"/>
  <c r="E956" i="8"/>
  <c r="D956" i="8"/>
  <c r="C956" i="8"/>
  <c r="B956" i="8"/>
  <c r="A956" i="8"/>
  <c r="F955" i="8"/>
  <c r="E955" i="8"/>
  <c r="D955" i="8"/>
  <c r="C955" i="8"/>
  <c r="B955" i="8"/>
  <c r="A955" i="8"/>
  <c r="F954" i="8"/>
  <c r="E954" i="8"/>
  <c r="D954" i="8"/>
  <c r="C954" i="8"/>
  <c r="B954" i="8"/>
  <c r="A954" i="8"/>
  <c r="F953" i="8"/>
  <c r="E953" i="8"/>
  <c r="D953" i="8"/>
  <c r="C953" i="8"/>
  <c r="B953" i="8"/>
  <c r="A953" i="8"/>
  <c r="F952" i="8"/>
  <c r="E952" i="8"/>
  <c r="D952" i="8"/>
  <c r="C952" i="8"/>
  <c r="B952" i="8"/>
  <c r="A952" i="8"/>
  <c r="F951" i="8"/>
  <c r="G951" i="8" s="1"/>
  <c r="E951" i="8"/>
  <c r="D951" i="8"/>
  <c r="C951" i="8"/>
  <c r="B951" i="8"/>
  <c r="A951" i="8"/>
  <c r="F950" i="8"/>
  <c r="E950" i="8"/>
  <c r="D950" i="8"/>
  <c r="C950" i="8"/>
  <c r="B950" i="8"/>
  <c r="A950" i="8"/>
  <c r="F949" i="8"/>
  <c r="E949" i="8"/>
  <c r="D949" i="8"/>
  <c r="C949" i="8"/>
  <c r="B949" i="8"/>
  <c r="A949" i="8"/>
  <c r="F948" i="8"/>
  <c r="E948" i="8"/>
  <c r="D948" i="8"/>
  <c r="C948" i="8"/>
  <c r="B948" i="8"/>
  <c r="A948" i="8"/>
  <c r="F947" i="8"/>
  <c r="E947" i="8"/>
  <c r="D947" i="8"/>
  <c r="C947" i="8"/>
  <c r="B947" i="8"/>
  <c r="A947" i="8"/>
  <c r="F946" i="8"/>
  <c r="E946" i="8"/>
  <c r="D946" i="8"/>
  <c r="C946" i="8"/>
  <c r="B946" i="8"/>
  <c r="A946" i="8"/>
  <c r="F945" i="8"/>
  <c r="E945" i="8"/>
  <c r="D945" i="8"/>
  <c r="C945" i="8"/>
  <c r="B945" i="8"/>
  <c r="A945" i="8"/>
  <c r="F944" i="8"/>
  <c r="E944" i="8"/>
  <c r="D944" i="8"/>
  <c r="C944" i="8"/>
  <c r="B944" i="8"/>
  <c r="A944" i="8"/>
  <c r="F943" i="8"/>
  <c r="E943" i="8"/>
  <c r="D943" i="8"/>
  <c r="C943" i="8"/>
  <c r="B943" i="8"/>
  <c r="A943" i="8"/>
  <c r="F942" i="8"/>
  <c r="G942" i="8" s="1"/>
  <c r="E942" i="8"/>
  <c r="D942" i="8"/>
  <c r="C942" i="8"/>
  <c r="B942" i="8"/>
  <c r="A942" i="8"/>
  <c r="F941" i="8"/>
  <c r="E941" i="8"/>
  <c r="D941" i="8"/>
  <c r="C941" i="8"/>
  <c r="B941" i="8"/>
  <c r="A941" i="8"/>
  <c r="F940" i="8"/>
  <c r="E940" i="8"/>
  <c r="D940" i="8"/>
  <c r="C940" i="8"/>
  <c r="B940" i="8"/>
  <c r="A940" i="8"/>
  <c r="F939" i="8"/>
  <c r="E939" i="8"/>
  <c r="D939" i="8"/>
  <c r="C939" i="8"/>
  <c r="B939" i="8"/>
  <c r="A939" i="8"/>
  <c r="F938" i="8"/>
  <c r="G938" i="8" s="1"/>
  <c r="E938" i="8"/>
  <c r="D938" i="8"/>
  <c r="C938" i="8"/>
  <c r="B938" i="8"/>
  <c r="A938" i="8"/>
  <c r="F937" i="8"/>
  <c r="E937" i="8"/>
  <c r="D937" i="8"/>
  <c r="C937" i="8"/>
  <c r="B937" i="8"/>
  <c r="A937" i="8"/>
  <c r="F936" i="8"/>
  <c r="E936" i="8"/>
  <c r="D936" i="8"/>
  <c r="C936" i="8"/>
  <c r="B936" i="8"/>
  <c r="A936" i="8"/>
  <c r="F935" i="8"/>
  <c r="E935" i="8"/>
  <c r="D935" i="8"/>
  <c r="C935" i="8"/>
  <c r="B935" i="8"/>
  <c r="A935" i="8"/>
  <c r="G934" i="8"/>
  <c r="F934" i="8"/>
  <c r="E934" i="8"/>
  <c r="D934" i="8"/>
  <c r="C934" i="8"/>
  <c r="B934" i="8"/>
  <c r="A934" i="8"/>
  <c r="F933" i="8"/>
  <c r="E933" i="8"/>
  <c r="D933" i="8"/>
  <c r="C933" i="8"/>
  <c r="B933" i="8"/>
  <c r="A933" i="8"/>
  <c r="F932" i="8"/>
  <c r="E932" i="8"/>
  <c r="D932" i="8"/>
  <c r="C932" i="8"/>
  <c r="B932" i="8"/>
  <c r="A932" i="8"/>
  <c r="F931" i="8"/>
  <c r="E931" i="8"/>
  <c r="D931" i="8"/>
  <c r="C931" i="8"/>
  <c r="B931" i="8"/>
  <c r="A931" i="8"/>
  <c r="F930" i="8"/>
  <c r="E930" i="8"/>
  <c r="D930" i="8"/>
  <c r="C930" i="8"/>
  <c r="B930" i="8"/>
  <c r="A930" i="8"/>
  <c r="F929" i="8"/>
  <c r="E929" i="8"/>
  <c r="D929" i="8"/>
  <c r="C929" i="8"/>
  <c r="B929" i="8"/>
  <c r="A929" i="8"/>
  <c r="F928" i="8"/>
  <c r="E928" i="8"/>
  <c r="D928" i="8"/>
  <c r="C928" i="8"/>
  <c r="B928" i="8"/>
  <c r="A928" i="8"/>
  <c r="F927" i="8"/>
  <c r="E927" i="8"/>
  <c r="D927" i="8"/>
  <c r="C927" i="8"/>
  <c r="B927" i="8"/>
  <c r="A927" i="8"/>
  <c r="G927" i="8" s="1"/>
  <c r="F926" i="8"/>
  <c r="E926" i="8"/>
  <c r="D926" i="8"/>
  <c r="C926" i="8"/>
  <c r="B926" i="8"/>
  <c r="A926" i="8"/>
  <c r="F925" i="8"/>
  <c r="E925" i="8"/>
  <c r="D925" i="8"/>
  <c r="C925" i="8"/>
  <c r="B925" i="8"/>
  <c r="A925" i="8"/>
  <c r="F924" i="8"/>
  <c r="E924" i="8"/>
  <c r="D924" i="8"/>
  <c r="C924" i="8"/>
  <c r="B924" i="8"/>
  <c r="A924" i="8"/>
  <c r="F923" i="8"/>
  <c r="E923" i="8"/>
  <c r="D923" i="8"/>
  <c r="C923" i="8"/>
  <c r="B923" i="8"/>
  <c r="A923" i="8"/>
  <c r="F922" i="8"/>
  <c r="E922" i="8"/>
  <c r="D922" i="8"/>
  <c r="C922" i="8"/>
  <c r="B922" i="8"/>
  <c r="A922" i="8"/>
  <c r="F921" i="8"/>
  <c r="E921" i="8"/>
  <c r="D921" i="8"/>
  <c r="C921" i="8"/>
  <c r="B921" i="8"/>
  <c r="A921" i="8"/>
  <c r="F920" i="8"/>
  <c r="E920" i="8"/>
  <c r="D920" i="8"/>
  <c r="C920" i="8"/>
  <c r="B920" i="8"/>
  <c r="A920" i="8"/>
  <c r="G920" i="8" s="1"/>
  <c r="F919" i="8"/>
  <c r="E919" i="8"/>
  <c r="D919" i="8"/>
  <c r="C919" i="8"/>
  <c r="B919" i="8"/>
  <c r="A919" i="8"/>
  <c r="F918" i="8"/>
  <c r="E918" i="8"/>
  <c r="D918" i="8"/>
  <c r="C918" i="8"/>
  <c r="B918" i="8"/>
  <c r="A918" i="8"/>
  <c r="G918" i="8" s="1"/>
  <c r="F917" i="8"/>
  <c r="E917" i="8"/>
  <c r="D917" i="8"/>
  <c r="C917" i="8"/>
  <c r="B917" i="8"/>
  <c r="A917" i="8"/>
  <c r="F916" i="8"/>
  <c r="E916" i="8"/>
  <c r="D916" i="8"/>
  <c r="C916" i="8"/>
  <c r="B916" i="8"/>
  <c r="A916" i="8"/>
  <c r="F915" i="8"/>
  <c r="E915" i="8"/>
  <c r="D915" i="8"/>
  <c r="C915" i="8"/>
  <c r="B915" i="8"/>
  <c r="A915" i="8"/>
  <c r="F914" i="8"/>
  <c r="E914" i="8"/>
  <c r="D914" i="8"/>
  <c r="C914" i="8"/>
  <c r="B914" i="8"/>
  <c r="A914" i="8"/>
  <c r="F913" i="8"/>
  <c r="E913" i="8"/>
  <c r="D913" i="8"/>
  <c r="C913" i="8"/>
  <c r="B913" i="8"/>
  <c r="A913" i="8"/>
  <c r="F912" i="8"/>
  <c r="E912" i="8"/>
  <c r="D912" i="8"/>
  <c r="C912" i="8"/>
  <c r="B912" i="8"/>
  <c r="A912" i="8"/>
  <c r="F911" i="8"/>
  <c r="E911" i="8"/>
  <c r="D911" i="8"/>
  <c r="C911" i="8"/>
  <c r="B911" i="8"/>
  <c r="A911" i="8"/>
  <c r="F910" i="8"/>
  <c r="E910" i="8"/>
  <c r="D910" i="8"/>
  <c r="C910" i="8"/>
  <c r="B910" i="8"/>
  <c r="A910" i="8"/>
  <c r="F909" i="8"/>
  <c r="E909" i="8"/>
  <c r="D909" i="8"/>
  <c r="C909" i="8"/>
  <c r="B909" i="8"/>
  <c r="A909" i="8"/>
  <c r="F908" i="8"/>
  <c r="E908" i="8"/>
  <c r="D908" i="8"/>
  <c r="C908" i="8"/>
  <c r="B908" i="8"/>
  <c r="A908" i="8"/>
  <c r="F907" i="8"/>
  <c r="E907" i="8"/>
  <c r="D907" i="8"/>
  <c r="C907" i="8"/>
  <c r="B907" i="8"/>
  <c r="A907" i="8"/>
  <c r="F906" i="8"/>
  <c r="E906" i="8"/>
  <c r="D906" i="8"/>
  <c r="C906" i="8"/>
  <c r="B906" i="8"/>
  <c r="A906" i="8"/>
  <c r="F905" i="8"/>
  <c r="E905" i="8"/>
  <c r="D905" i="8"/>
  <c r="C905" i="8"/>
  <c r="B905" i="8"/>
  <c r="A905" i="8"/>
  <c r="F904" i="8"/>
  <c r="E904" i="8"/>
  <c r="D904" i="8"/>
  <c r="C904" i="8"/>
  <c r="B904" i="8"/>
  <c r="A904" i="8"/>
  <c r="F903" i="8"/>
  <c r="E903" i="8"/>
  <c r="D903" i="8"/>
  <c r="C903" i="8"/>
  <c r="B903" i="8"/>
  <c r="A903" i="8"/>
  <c r="F902" i="8"/>
  <c r="G902" i="8" s="1"/>
  <c r="E902" i="8"/>
  <c r="D902" i="8"/>
  <c r="C902" i="8"/>
  <c r="B902" i="8"/>
  <c r="A902" i="8"/>
  <c r="F901" i="8"/>
  <c r="E901" i="8"/>
  <c r="D901" i="8"/>
  <c r="C901" i="8"/>
  <c r="B901" i="8"/>
  <c r="A901" i="8"/>
  <c r="F900" i="8"/>
  <c r="E900" i="8"/>
  <c r="D900" i="8"/>
  <c r="C900" i="8"/>
  <c r="B900" i="8"/>
  <c r="A900" i="8"/>
  <c r="F899" i="8"/>
  <c r="E899" i="8"/>
  <c r="D899" i="8"/>
  <c r="C899" i="8"/>
  <c r="B899" i="8"/>
  <c r="A899" i="8"/>
  <c r="F898" i="8"/>
  <c r="G898" i="8" s="1"/>
  <c r="E898" i="8"/>
  <c r="D898" i="8"/>
  <c r="C898" i="8"/>
  <c r="B898" i="8"/>
  <c r="A898" i="8"/>
  <c r="F897" i="8"/>
  <c r="E897" i="8"/>
  <c r="D897" i="8"/>
  <c r="C897" i="8"/>
  <c r="B897" i="8"/>
  <c r="A897" i="8"/>
  <c r="F896" i="8"/>
  <c r="A896" i="8"/>
  <c r="F895" i="8"/>
  <c r="E895" i="8"/>
  <c r="D895" i="8"/>
  <c r="C895" i="8"/>
  <c r="B895" i="8"/>
  <c r="A895" i="8"/>
  <c r="G895" i="8" s="1"/>
  <c r="F894" i="8"/>
  <c r="G894" i="8" s="1"/>
  <c r="E894" i="8"/>
  <c r="D894" i="8"/>
  <c r="C894" i="8"/>
  <c r="B894" i="8"/>
  <c r="A894" i="8"/>
  <c r="F893" i="8"/>
  <c r="E893" i="8"/>
  <c r="D893" i="8"/>
  <c r="C893" i="8"/>
  <c r="B893" i="8"/>
  <c r="A893" i="8"/>
  <c r="F892" i="8"/>
  <c r="A892" i="8"/>
  <c r="F891" i="8"/>
  <c r="A891" i="8"/>
  <c r="F890" i="8"/>
  <c r="G890" i="8" s="1"/>
  <c r="E890" i="8"/>
  <c r="D890" i="8"/>
  <c r="C890" i="8"/>
  <c r="B890" i="8"/>
  <c r="A890" i="8"/>
  <c r="F889" i="8"/>
  <c r="A889" i="8"/>
  <c r="F888" i="8"/>
  <c r="A888" i="8"/>
  <c r="F887" i="8"/>
  <c r="E887" i="8"/>
  <c r="D887" i="8"/>
  <c r="C887" i="8"/>
  <c r="B887" i="8"/>
  <c r="A887" i="8"/>
  <c r="G887" i="8" s="1"/>
  <c r="F886" i="8"/>
  <c r="G886" i="8" s="1"/>
  <c r="A886" i="8"/>
  <c r="F885" i="8"/>
  <c r="A885" i="8"/>
  <c r="F884" i="8"/>
  <c r="E884" i="8"/>
  <c r="D884" i="8"/>
  <c r="C884" i="8"/>
  <c r="B884" i="8"/>
  <c r="A884" i="8"/>
  <c r="F883" i="8"/>
  <c r="A883" i="8"/>
  <c r="F882" i="8"/>
  <c r="E882" i="8"/>
  <c r="D882" i="8"/>
  <c r="C882" i="8"/>
  <c r="B882" i="8"/>
  <c r="A882" i="8"/>
  <c r="F881" i="8"/>
  <c r="E881" i="8"/>
  <c r="D881" i="8"/>
  <c r="C881" i="8"/>
  <c r="B881" i="8"/>
  <c r="A881" i="8"/>
  <c r="F880" i="8"/>
  <c r="A880" i="8"/>
  <c r="F879" i="8"/>
  <c r="A879" i="8"/>
  <c r="F878" i="8"/>
  <c r="E878" i="8"/>
  <c r="D878" i="8"/>
  <c r="C878" i="8"/>
  <c r="B878" i="8"/>
  <c r="A878" i="8"/>
  <c r="F877" i="8"/>
  <c r="E877" i="8"/>
  <c r="D877" i="8"/>
  <c r="C877" i="8"/>
  <c r="B877" i="8"/>
  <c r="A877" i="8"/>
  <c r="F876" i="8"/>
  <c r="E876" i="8"/>
  <c r="D876" i="8"/>
  <c r="C876" i="8"/>
  <c r="B876" i="8"/>
  <c r="A876" i="8"/>
  <c r="F875" i="8"/>
  <c r="E875" i="8"/>
  <c r="D875" i="8"/>
  <c r="C875" i="8"/>
  <c r="B875" i="8"/>
  <c r="A875" i="8"/>
  <c r="F874" i="8"/>
  <c r="E874" i="8"/>
  <c r="D874" i="8"/>
  <c r="C874" i="8"/>
  <c r="B874" i="8"/>
  <c r="A874" i="8"/>
  <c r="F873" i="8"/>
  <c r="E873" i="8"/>
  <c r="D873" i="8"/>
  <c r="C873" i="8"/>
  <c r="B873" i="8"/>
  <c r="A873" i="8"/>
  <c r="F872" i="8"/>
  <c r="E872" i="8"/>
  <c r="D872" i="8"/>
  <c r="C872" i="8"/>
  <c r="B872" i="8"/>
  <c r="A872" i="8"/>
  <c r="F871" i="8"/>
  <c r="E871" i="8"/>
  <c r="D871" i="8"/>
  <c r="C871" i="8"/>
  <c r="B871" i="8"/>
  <c r="A871" i="8"/>
  <c r="F870" i="8"/>
  <c r="E870" i="8"/>
  <c r="D870" i="8"/>
  <c r="C870" i="8"/>
  <c r="B870" i="8"/>
  <c r="A870" i="8"/>
  <c r="F869" i="8"/>
  <c r="E869" i="8"/>
  <c r="D869" i="8"/>
  <c r="C869" i="8"/>
  <c r="B869" i="8"/>
  <c r="A869" i="8"/>
  <c r="F868" i="8"/>
  <c r="E868" i="8"/>
  <c r="D868" i="8"/>
  <c r="C868" i="8"/>
  <c r="B868" i="8"/>
  <c r="A868" i="8"/>
  <c r="F867" i="8"/>
  <c r="E867" i="8"/>
  <c r="D867" i="8"/>
  <c r="C867" i="8"/>
  <c r="B867" i="8"/>
  <c r="A867" i="8"/>
  <c r="G867" i="8" s="1"/>
  <c r="F866" i="8"/>
  <c r="G866" i="8" s="1"/>
  <c r="E866" i="8"/>
  <c r="D866" i="8"/>
  <c r="C866" i="8"/>
  <c r="B866" i="8"/>
  <c r="A866" i="8"/>
  <c r="F865" i="8"/>
  <c r="E865" i="8"/>
  <c r="D865" i="8"/>
  <c r="C865" i="8"/>
  <c r="B865" i="8"/>
  <c r="A865" i="8"/>
  <c r="F864" i="8"/>
  <c r="E864" i="8"/>
  <c r="D864" i="8"/>
  <c r="C864" i="8"/>
  <c r="B864" i="8"/>
  <c r="A864" i="8"/>
  <c r="F863" i="8"/>
  <c r="E863" i="8"/>
  <c r="D863" i="8"/>
  <c r="C863" i="8"/>
  <c r="B863" i="8"/>
  <c r="A863" i="8"/>
  <c r="G863" i="8" s="1"/>
  <c r="F862" i="8"/>
  <c r="G862" i="8" s="1"/>
  <c r="E862" i="8"/>
  <c r="D862" i="8"/>
  <c r="C862" i="8"/>
  <c r="B862" i="8"/>
  <c r="A862" i="8"/>
  <c r="F861" i="8"/>
  <c r="E861" i="8"/>
  <c r="D861" i="8"/>
  <c r="C861" i="8"/>
  <c r="B861" i="8"/>
  <c r="A861" i="8"/>
  <c r="F860" i="8"/>
  <c r="E860" i="8"/>
  <c r="D860" i="8"/>
  <c r="C860" i="8"/>
  <c r="B860" i="8"/>
  <c r="A860" i="8"/>
  <c r="F859" i="8"/>
  <c r="E859" i="8"/>
  <c r="D859" i="8"/>
  <c r="C859" i="8"/>
  <c r="B859" i="8"/>
  <c r="A859" i="8"/>
  <c r="F858" i="8"/>
  <c r="G858" i="8" s="1"/>
  <c r="E858" i="8"/>
  <c r="D858" i="8"/>
  <c r="C858" i="8"/>
  <c r="B858" i="8"/>
  <c r="A858" i="8"/>
  <c r="F857" i="8"/>
  <c r="E857" i="8"/>
  <c r="D857" i="8"/>
  <c r="C857" i="8"/>
  <c r="B857" i="8"/>
  <c r="A857" i="8"/>
  <c r="F856" i="8"/>
  <c r="E856" i="8"/>
  <c r="D856" i="8"/>
  <c r="C856" i="8"/>
  <c r="B856" i="8"/>
  <c r="A856" i="8"/>
  <c r="F855" i="8"/>
  <c r="E855" i="8"/>
  <c r="D855" i="8"/>
  <c r="C855" i="8"/>
  <c r="B855" i="8"/>
  <c r="A855" i="8"/>
  <c r="G855" i="8" s="1"/>
  <c r="F854" i="8"/>
  <c r="G854" i="8" s="1"/>
  <c r="E854" i="8"/>
  <c r="D854" i="8"/>
  <c r="C854" i="8"/>
  <c r="B854" i="8"/>
  <c r="A854" i="8"/>
  <c r="F853" i="8"/>
  <c r="E853" i="8"/>
  <c r="D853" i="8"/>
  <c r="C853" i="8"/>
  <c r="B853" i="8"/>
  <c r="A853" i="8"/>
  <c r="F852" i="8"/>
  <c r="E852" i="8"/>
  <c r="D852" i="8"/>
  <c r="C852" i="8"/>
  <c r="B852" i="8"/>
  <c r="A852" i="8"/>
  <c r="F851" i="8"/>
  <c r="E851" i="8"/>
  <c r="D851" i="8"/>
  <c r="C851" i="8"/>
  <c r="B851" i="8"/>
  <c r="A851" i="8"/>
  <c r="F850" i="8"/>
  <c r="E850" i="8"/>
  <c r="D850" i="8"/>
  <c r="C850" i="8"/>
  <c r="B850" i="8"/>
  <c r="A850" i="8"/>
  <c r="F849" i="8"/>
  <c r="E849" i="8"/>
  <c r="D849" i="8"/>
  <c r="C849" i="8"/>
  <c r="B849" i="8"/>
  <c r="A849" i="8"/>
  <c r="F848" i="8"/>
  <c r="E848" i="8"/>
  <c r="D848" i="8"/>
  <c r="C848" i="8"/>
  <c r="B848" i="8"/>
  <c r="A848" i="8"/>
  <c r="F847" i="8"/>
  <c r="E847" i="8"/>
  <c r="D847" i="8"/>
  <c r="C847" i="8"/>
  <c r="B847" i="8"/>
  <c r="A847" i="8"/>
  <c r="G847" i="8" s="1"/>
  <c r="F846" i="8"/>
  <c r="E846" i="8"/>
  <c r="D846" i="8"/>
  <c r="C846" i="8"/>
  <c r="B846" i="8"/>
  <c r="A846" i="8"/>
  <c r="F845" i="8"/>
  <c r="E845" i="8"/>
  <c r="D845" i="8"/>
  <c r="C845" i="8"/>
  <c r="B845" i="8"/>
  <c r="A845" i="8"/>
  <c r="F844" i="8"/>
  <c r="E844" i="8"/>
  <c r="D844" i="8"/>
  <c r="C844" i="8"/>
  <c r="B844" i="8"/>
  <c r="A844" i="8"/>
  <c r="F843" i="8"/>
  <c r="E843" i="8"/>
  <c r="D843" i="8"/>
  <c r="C843" i="8"/>
  <c r="B843" i="8"/>
  <c r="A843" i="8"/>
  <c r="F842" i="8"/>
  <c r="E842" i="8"/>
  <c r="D842" i="8"/>
  <c r="C842" i="8"/>
  <c r="B842" i="8"/>
  <c r="A842" i="8"/>
  <c r="F841" i="8"/>
  <c r="E841" i="8"/>
  <c r="D841" i="8"/>
  <c r="C841" i="8"/>
  <c r="B841" i="8"/>
  <c r="A841" i="8"/>
  <c r="F840" i="8"/>
  <c r="E840" i="8"/>
  <c r="D840" i="8"/>
  <c r="C840" i="8"/>
  <c r="B840" i="8"/>
  <c r="A840" i="8"/>
  <c r="F839" i="8"/>
  <c r="E839" i="8"/>
  <c r="D839" i="8"/>
  <c r="C839" i="8"/>
  <c r="B839" i="8"/>
  <c r="A839" i="8"/>
  <c r="F838" i="8"/>
  <c r="E838" i="8"/>
  <c r="D838" i="8"/>
  <c r="C838" i="8"/>
  <c r="B838" i="8"/>
  <c r="A838" i="8"/>
  <c r="F837" i="8"/>
  <c r="E837" i="8"/>
  <c r="D837" i="8"/>
  <c r="C837" i="8"/>
  <c r="B837" i="8"/>
  <c r="A837" i="8"/>
  <c r="F836" i="8"/>
  <c r="E836" i="8"/>
  <c r="D836" i="8"/>
  <c r="C836" i="8"/>
  <c r="B836" i="8"/>
  <c r="A836" i="8"/>
  <c r="F835" i="8"/>
  <c r="E835" i="8"/>
  <c r="D835" i="8"/>
  <c r="C835" i="8"/>
  <c r="B835" i="8"/>
  <c r="A835" i="8"/>
  <c r="F834" i="8"/>
  <c r="E834" i="8"/>
  <c r="D834" i="8"/>
  <c r="C834" i="8"/>
  <c r="B834" i="8"/>
  <c r="A834" i="8"/>
  <c r="F833" i="8"/>
  <c r="E833" i="8"/>
  <c r="D833" i="8"/>
  <c r="C833" i="8"/>
  <c r="B833" i="8"/>
  <c r="A833" i="8"/>
  <c r="F832" i="8"/>
  <c r="E832" i="8"/>
  <c r="D832" i="8"/>
  <c r="C832" i="8"/>
  <c r="B832" i="8"/>
  <c r="A832" i="8"/>
  <c r="F831" i="8"/>
  <c r="E831" i="8"/>
  <c r="D831" i="8"/>
  <c r="C831" i="8"/>
  <c r="B831" i="8"/>
  <c r="A831" i="8"/>
  <c r="F830" i="8"/>
  <c r="E830" i="8"/>
  <c r="D830" i="8"/>
  <c r="C830" i="8"/>
  <c r="B830" i="8"/>
  <c r="A830" i="8"/>
  <c r="F829" i="8"/>
  <c r="E829" i="8"/>
  <c r="D829" i="8"/>
  <c r="C829" i="8"/>
  <c r="B829" i="8"/>
  <c r="A829" i="8"/>
  <c r="F828" i="8"/>
  <c r="E828" i="8"/>
  <c r="D828" i="8"/>
  <c r="C828" i="8"/>
  <c r="B828" i="8"/>
  <c r="A828" i="8"/>
  <c r="F827" i="8"/>
  <c r="E827" i="8"/>
  <c r="D827" i="8"/>
  <c r="C827" i="8"/>
  <c r="B827" i="8"/>
  <c r="A827" i="8"/>
  <c r="F826" i="8"/>
  <c r="E826" i="8"/>
  <c r="D826" i="8"/>
  <c r="C826" i="8"/>
  <c r="B826" i="8"/>
  <c r="A826" i="8"/>
  <c r="F825" i="8"/>
  <c r="E825" i="8"/>
  <c r="D825" i="8"/>
  <c r="C825" i="8"/>
  <c r="B825" i="8"/>
  <c r="A825" i="8"/>
  <c r="F824" i="8"/>
  <c r="E824" i="8"/>
  <c r="D824" i="8"/>
  <c r="C824" i="8"/>
  <c r="B824" i="8"/>
  <c r="A824" i="8"/>
  <c r="F823" i="8"/>
  <c r="E823" i="8"/>
  <c r="D823" i="8"/>
  <c r="C823" i="8"/>
  <c r="B823" i="8"/>
  <c r="A823" i="8"/>
  <c r="F822" i="8"/>
  <c r="E822" i="8"/>
  <c r="D822" i="8"/>
  <c r="C822" i="8"/>
  <c r="B822" i="8"/>
  <c r="A822" i="8"/>
  <c r="F821" i="8"/>
  <c r="E821" i="8"/>
  <c r="D821" i="8"/>
  <c r="C821" i="8"/>
  <c r="B821" i="8"/>
  <c r="A821" i="8"/>
  <c r="F820" i="8"/>
  <c r="E820" i="8"/>
  <c r="D820" i="8"/>
  <c r="C820" i="8"/>
  <c r="B820" i="8"/>
  <c r="A820" i="8"/>
  <c r="F819" i="8"/>
  <c r="E819" i="8"/>
  <c r="D819" i="8"/>
  <c r="C819" i="8"/>
  <c r="B819" i="8"/>
  <c r="A819" i="8"/>
  <c r="F818" i="8"/>
  <c r="E818" i="8"/>
  <c r="D818" i="8"/>
  <c r="C818" i="8"/>
  <c r="B818" i="8"/>
  <c r="A818" i="8"/>
  <c r="F817" i="8"/>
  <c r="E817" i="8"/>
  <c r="D817" i="8"/>
  <c r="C817" i="8"/>
  <c r="B817" i="8"/>
  <c r="A817" i="8"/>
  <c r="F816" i="8"/>
  <c r="E816" i="8"/>
  <c r="D816" i="8"/>
  <c r="C816" i="8"/>
  <c r="B816" i="8"/>
  <c r="A816" i="8"/>
  <c r="F815" i="8"/>
  <c r="E815" i="8"/>
  <c r="D815" i="8"/>
  <c r="C815" i="8"/>
  <c r="B815" i="8"/>
  <c r="A815" i="8"/>
  <c r="F814" i="8"/>
  <c r="E814" i="8"/>
  <c r="D814" i="8"/>
  <c r="C814" i="8"/>
  <c r="B814" i="8"/>
  <c r="A814" i="8"/>
  <c r="F813" i="8"/>
  <c r="E813" i="8"/>
  <c r="D813" i="8"/>
  <c r="C813" i="8"/>
  <c r="B813" i="8"/>
  <c r="A813" i="8"/>
  <c r="F812" i="8"/>
  <c r="E812" i="8"/>
  <c r="D812" i="8"/>
  <c r="C812" i="8"/>
  <c r="B812" i="8"/>
  <c r="A812" i="8"/>
  <c r="F811" i="8"/>
  <c r="E811" i="8"/>
  <c r="D811" i="8"/>
  <c r="C811" i="8"/>
  <c r="B811" i="8"/>
  <c r="A811" i="8"/>
  <c r="F810" i="8"/>
  <c r="E810" i="8"/>
  <c r="D810" i="8"/>
  <c r="C810" i="8"/>
  <c r="B810" i="8"/>
  <c r="A810" i="8"/>
  <c r="F809" i="8"/>
  <c r="E809" i="8"/>
  <c r="D809" i="8"/>
  <c r="C809" i="8"/>
  <c r="B809" i="8"/>
  <c r="A809" i="8"/>
  <c r="F808" i="8"/>
  <c r="E808" i="8"/>
  <c r="D808" i="8"/>
  <c r="C808" i="8"/>
  <c r="B808" i="8"/>
  <c r="A808" i="8"/>
  <c r="F807" i="8"/>
  <c r="E807" i="8"/>
  <c r="D807" i="8"/>
  <c r="C807" i="8"/>
  <c r="B807" i="8"/>
  <c r="A807" i="8"/>
  <c r="F806" i="8"/>
  <c r="E806" i="8"/>
  <c r="D806" i="8"/>
  <c r="C806" i="8"/>
  <c r="B806" i="8"/>
  <c r="A806" i="8"/>
  <c r="F805" i="8"/>
  <c r="E805" i="8"/>
  <c r="D805" i="8"/>
  <c r="C805" i="8"/>
  <c r="B805" i="8"/>
  <c r="A805" i="8"/>
  <c r="F804" i="8"/>
  <c r="E804" i="8"/>
  <c r="D804" i="8"/>
  <c r="C804" i="8"/>
  <c r="B804" i="8"/>
  <c r="A804" i="8"/>
  <c r="F803" i="8"/>
  <c r="E803" i="8"/>
  <c r="D803" i="8"/>
  <c r="C803" i="8"/>
  <c r="B803" i="8"/>
  <c r="A803" i="8"/>
  <c r="F802" i="8"/>
  <c r="E802" i="8"/>
  <c r="D802" i="8"/>
  <c r="C802" i="8"/>
  <c r="B802" i="8"/>
  <c r="A802" i="8"/>
  <c r="F801" i="8"/>
  <c r="E801" i="8"/>
  <c r="D801" i="8"/>
  <c r="C801" i="8"/>
  <c r="B801" i="8"/>
  <c r="A801" i="8"/>
  <c r="F800" i="8"/>
  <c r="E800" i="8"/>
  <c r="D800" i="8"/>
  <c r="C800" i="8"/>
  <c r="B800" i="8"/>
  <c r="A800" i="8"/>
  <c r="F799" i="8"/>
  <c r="E799" i="8"/>
  <c r="D799" i="8"/>
  <c r="C799" i="8"/>
  <c r="B799" i="8"/>
  <c r="A799" i="8"/>
  <c r="F798" i="8"/>
  <c r="E798" i="8"/>
  <c r="D798" i="8"/>
  <c r="C798" i="8"/>
  <c r="B798" i="8"/>
  <c r="A798" i="8"/>
  <c r="F797" i="8"/>
  <c r="E797" i="8"/>
  <c r="D797" i="8"/>
  <c r="C797" i="8"/>
  <c r="B797" i="8"/>
  <c r="A797" i="8"/>
  <c r="F796" i="8"/>
  <c r="E796" i="8"/>
  <c r="D796" i="8"/>
  <c r="C796" i="8"/>
  <c r="B796" i="8"/>
  <c r="A796" i="8"/>
  <c r="F795" i="8"/>
  <c r="E795" i="8"/>
  <c r="D795" i="8"/>
  <c r="C795" i="8"/>
  <c r="B795" i="8"/>
  <c r="A795" i="8"/>
  <c r="F794" i="8"/>
  <c r="E794" i="8"/>
  <c r="D794" i="8"/>
  <c r="C794" i="8"/>
  <c r="B794" i="8"/>
  <c r="A794" i="8"/>
  <c r="F793" i="8"/>
  <c r="E793" i="8"/>
  <c r="D793" i="8"/>
  <c r="C793" i="8"/>
  <c r="B793" i="8"/>
  <c r="A793" i="8"/>
  <c r="F792" i="8"/>
  <c r="E792" i="8"/>
  <c r="D792" i="8"/>
  <c r="C792" i="8"/>
  <c r="B792" i="8"/>
  <c r="A792" i="8"/>
  <c r="F791" i="8"/>
  <c r="G791" i="8" s="1"/>
  <c r="E791" i="8"/>
  <c r="D791" i="8"/>
  <c r="C791" i="8"/>
  <c r="B791" i="8"/>
  <c r="A791" i="8"/>
  <c r="F790" i="8"/>
  <c r="E790" i="8"/>
  <c r="D790" i="8"/>
  <c r="C790" i="8"/>
  <c r="B790" i="8"/>
  <c r="A790" i="8"/>
  <c r="F789" i="8"/>
  <c r="E789" i="8"/>
  <c r="D789" i="8"/>
  <c r="C789" i="8"/>
  <c r="B789" i="8"/>
  <c r="A789" i="8"/>
  <c r="F788" i="8"/>
  <c r="E788" i="8"/>
  <c r="D788" i="8"/>
  <c r="C788" i="8"/>
  <c r="B788" i="8"/>
  <c r="A788" i="8"/>
  <c r="G788" i="8" s="1"/>
  <c r="F787" i="8"/>
  <c r="E787" i="8"/>
  <c r="D787" i="8"/>
  <c r="C787" i="8"/>
  <c r="B787" i="8"/>
  <c r="A787" i="8"/>
  <c r="F786" i="8"/>
  <c r="E786" i="8"/>
  <c r="D786" i="8"/>
  <c r="C786" i="8"/>
  <c r="B786" i="8"/>
  <c r="A786" i="8"/>
  <c r="F785" i="8"/>
  <c r="E785" i="8"/>
  <c r="D785" i="8"/>
  <c r="C785" i="8"/>
  <c r="B785" i="8"/>
  <c r="A785" i="8"/>
  <c r="F784" i="8"/>
  <c r="E784" i="8"/>
  <c r="D784" i="8"/>
  <c r="C784" i="8"/>
  <c r="B784" i="8"/>
  <c r="A784" i="8"/>
  <c r="F783" i="8"/>
  <c r="E783" i="8"/>
  <c r="D783" i="8"/>
  <c r="C783" i="8"/>
  <c r="B783" i="8"/>
  <c r="A783" i="8"/>
  <c r="F782" i="8"/>
  <c r="E782" i="8"/>
  <c r="D782" i="8"/>
  <c r="C782" i="8"/>
  <c r="B782" i="8"/>
  <c r="A782" i="8"/>
  <c r="F781" i="8"/>
  <c r="E781" i="8"/>
  <c r="D781" i="8"/>
  <c r="C781" i="8"/>
  <c r="B781" i="8"/>
  <c r="A781" i="8"/>
  <c r="F780" i="8"/>
  <c r="E780" i="8"/>
  <c r="D780" i="8"/>
  <c r="C780" i="8"/>
  <c r="B780" i="8"/>
  <c r="A780" i="8"/>
  <c r="G780" i="8" s="1"/>
  <c r="F779" i="8"/>
  <c r="E779" i="8"/>
  <c r="D779" i="8"/>
  <c r="C779" i="8"/>
  <c r="B779" i="8"/>
  <c r="A779" i="8"/>
  <c r="F778" i="8"/>
  <c r="E778" i="8"/>
  <c r="D778" i="8"/>
  <c r="C778" i="8"/>
  <c r="B778" i="8"/>
  <c r="A778" i="8"/>
  <c r="F777" i="8"/>
  <c r="E777" i="8"/>
  <c r="D777" i="8"/>
  <c r="C777" i="8"/>
  <c r="B777" i="8"/>
  <c r="A777" i="8"/>
  <c r="F776" i="8"/>
  <c r="E776" i="8"/>
  <c r="D776" i="8"/>
  <c r="C776" i="8"/>
  <c r="B776" i="8"/>
  <c r="A776" i="8"/>
  <c r="F775" i="8"/>
  <c r="E775" i="8"/>
  <c r="D775" i="8"/>
  <c r="C775" i="8"/>
  <c r="B775" i="8"/>
  <c r="A775" i="8"/>
  <c r="F774" i="8"/>
  <c r="E774" i="8"/>
  <c r="D774" i="8"/>
  <c r="C774" i="8"/>
  <c r="B774" i="8"/>
  <c r="A774" i="8"/>
  <c r="F773" i="8"/>
  <c r="E773" i="8"/>
  <c r="D773" i="8"/>
  <c r="C773" i="8"/>
  <c r="B773" i="8"/>
  <c r="A773" i="8"/>
  <c r="F772" i="8"/>
  <c r="E772" i="8"/>
  <c r="D772" i="8"/>
  <c r="C772" i="8"/>
  <c r="B772" i="8"/>
  <c r="A772" i="8"/>
  <c r="G772" i="8" s="1"/>
  <c r="F771" i="8"/>
  <c r="E771" i="8"/>
  <c r="D771" i="8"/>
  <c r="C771" i="8"/>
  <c r="B771" i="8"/>
  <c r="A771" i="8"/>
  <c r="F770" i="8"/>
  <c r="E770" i="8"/>
  <c r="D770" i="8"/>
  <c r="C770" i="8"/>
  <c r="B770" i="8"/>
  <c r="A770" i="8"/>
  <c r="F769" i="8"/>
  <c r="E769" i="8"/>
  <c r="D769" i="8"/>
  <c r="C769" i="8"/>
  <c r="B769" i="8"/>
  <c r="A769" i="8"/>
  <c r="F768" i="8"/>
  <c r="E768" i="8"/>
  <c r="D768" i="8"/>
  <c r="C768" i="8"/>
  <c r="B768" i="8"/>
  <c r="A768" i="8"/>
  <c r="F767" i="8"/>
  <c r="G767" i="8" s="1"/>
  <c r="E767" i="8"/>
  <c r="D767" i="8"/>
  <c r="C767" i="8"/>
  <c r="B767" i="8"/>
  <c r="A767" i="8"/>
  <c r="F766" i="8"/>
  <c r="E766" i="8"/>
  <c r="D766" i="8"/>
  <c r="C766" i="8"/>
  <c r="B766" i="8"/>
  <c r="A766" i="8"/>
  <c r="F765" i="8"/>
  <c r="E765" i="8"/>
  <c r="D765" i="8"/>
  <c r="C765" i="8"/>
  <c r="B765" i="8"/>
  <c r="A765" i="8"/>
  <c r="F764" i="8"/>
  <c r="E764" i="8"/>
  <c r="D764" i="8"/>
  <c r="C764" i="8"/>
  <c r="B764" i="8"/>
  <c r="A764" i="8"/>
  <c r="F763" i="8"/>
  <c r="G763" i="8" s="1"/>
  <c r="E763" i="8"/>
  <c r="D763" i="8"/>
  <c r="C763" i="8"/>
  <c r="B763" i="8"/>
  <c r="A763" i="8"/>
  <c r="F762" i="8"/>
  <c r="E762" i="8"/>
  <c r="D762" i="8"/>
  <c r="C762" i="8"/>
  <c r="B762" i="8"/>
  <c r="A762" i="8"/>
  <c r="F761" i="8"/>
  <c r="G761" i="8" s="1"/>
  <c r="E761" i="8"/>
  <c r="D761" i="8"/>
  <c r="C761" i="8"/>
  <c r="B761" i="8"/>
  <c r="A761" i="8"/>
  <c r="F760" i="8"/>
  <c r="E760" i="8"/>
  <c r="D760" i="8"/>
  <c r="C760" i="8"/>
  <c r="B760" i="8"/>
  <c r="A760" i="8"/>
  <c r="G759" i="8"/>
  <c r="F759" i="8"/>
  <c r="E759" i="8"/>
  <c r="D759" i="8"/>
  <c r="C759" i="8"/>
  <c r="B759" i="8"/>
  <c r="A759" i="8"/>
  <c r="F758" i="8"/>
  <c r="E758" i="8"/>
  <c r="D758" i="8"/>
  <c r="C758" i="8"/>
  <c r="B758" i="8"/>
  <c r="A758" i="8"/>
  <c r="F757" i="8"/>
  <c r="E757" i="8"/>
  <c r="D757" i="8"/>
  <c r="C757" i="8"/>
  <c r="B757" i="8"/>
  <c r="A757" i="8"/>
  <c r="F756" i="8"/>
  <c r="E756" i="8"/>
  <c r="D756" i="8"/>
  <c r="C756" i="8"/>
  <c r="B756" i="8"/>
  <c r="A756" i="8"/>
  <c r="F755" i="8"/>
  <c r="E755" i="8"/>
  <c r="D755" i="8"/>
  <c r="C755" i="8"/>
  <c r="B755" i="8"/>
  <c r="A755" i="8"/>
  <c r="F754" i="8"/>
  <c r="E754" i="8"/>
  <c r="D754" i="8"/>
  <c r="C754" i="8"/>
  <c r="B754" i="8"/>
  <c r="A754" i="8"/>
  <c r="F753" i="8"/>
  <c r="E753" i="8"/>
  <c r="D753" i="8"/>
  <c r="C753" i="8"/>
  <c r="B753" i="8"/>
  <c r="A753" i="8"/>
  <c r="F752" i="8"/>
  <c r="E752" i="8"/>
  <c r="D752" i="8"/>
  <c r="C752" i="8"/>
  <c r="B752" i="8"/>
  <c r="A752" i="8"/>
  <c r="F751" i="8"/>
  <c r="E751" i="8"/>
  <c r="D751" i="8"/>
  <c r="C751" i="8"/>
  <c r="B751" i="8"/>
  <c r="A751" i="8"/>
  <c r="F750" i="8"/>
  <c r="E750" i="8"/>
  <c r="D750" i="8"/>
  <c r="C750" i="8"/>
  <c r="B750" i="8"/>
  <c r="A750" i="8"/>
  <c r="F749" i="8"/>
  <c r="E749" i="8"/>
  <c r="D749" i="8"/>
  <c r="C749" i="8"/>
  <c r="B749" i="8"/>
  <c r="A749" i="8"/>
  <c r="F748" i="8"/>
  <c r="E748" i="8"/>
  <c r="D748" i="8"/>
  <c r="C748" i="8"/>
  <c r="B748" i="8"/>
  <c r="A748" i="8"/>
  <c r="F747" i="8"/>
  <c r="E747" i="8"/>
  <c r="D747" i="8"/>
  <c r="C747" i="8"/>
  <c r="B747" i="8"/>
  <c r="A747" i="8"/>
  <c r="F746" i="8"/>
  <c r="E746" i="8"/>
  <c r="D746" i="8"/>
  <c r="C746" i="8"/>
  <c r="B746" i="8"/>
  <c r="A746" i="8"/>
  <c r="F745" i="8"/>
  <c r="E745" i="8"/>
  <c r="D745" i="8"/>
  <c r="C745" i="8"/>
  <c r="B745" i="8"/>
  <c r="A745" i="8"/>
  <c r="F744" i="8"/>
  <c r="E744" i="8"/>
  <c r="D744" i="8"/>
  <c r="C744" i="8"/>
  <c r="B744" i="8"/>
  <c r="A744" i="8"/>
  <c r="F743" i="8"/>
  <c r="E743" i="8"/>
  <c r="D743" i="8"/>
  <c r="C743" i="8"/>
  <c r="B743" i="8"/>
  <c r="A743" i="8"/>
  <c r="F742" i="8"/>
  <c r="E742" i="8"/>
  <c r="D742" i="8"/>
  <c r="C742" i="8"/>
  <c r="B742" i="8"/>
  <c r="A742" i="8"/>
  <c r="F741" i="8"/>
  <c r="E741" i="8"/>
  <c r="D741" i="8"/>
  <c r="C741" i="8"/>
  <c r="B741" i="8"/>
  <c r="A741" i="8"/>
  <c r="F740" i="8"/>
  <c r="E740" i="8"/>
  <c r="D740" i="8"/>
  <c r="C740" i="8"/>
  <c r="B740" i="8"/>
  <c r="A740" i="8"/>
  <c r="F739" i="8"/>
  <c r="E739" i="8"/>
  <c r="D739" i="8"/>
  <c r="C739" i="8"/>
  <c r="B739" i="8"/>
  <c r="A739" i="8"/>
  <c r="F738" i="8"/>
  <c r="E738" i="8"/>
  <c r="D738" i="8"/>
  <c r="C738" i="8"/>
  <c r="B738" i="8"/>
  <c r="A738" i="8"/>
  <c r="F737" i="8"/>
  <c r="E737" i="8"/>
  <c r="D737" i="8"/>
  <c r="C737" i="8"/>
  <c r="B737" i="8"/>
  <c r="A737" i="8"/>
  <c r="F736" i="8"/>
  <c r="E736" i="8"/>
  <c r="D736" i="8"/>
  <c r="C736" i="8"/>
  <c r="B736" i="8"/>
  <c r="A736" i="8"/>
  <c r="F735" i="8"/>
  <c r="G735" i="8" s="1"/>
  <c r="E735" i="8"/>
  <c r="D735" i="8"/>
  <c r="C735" i="8"/>
  <c r="B735" i="8"/>
  <c r="A735" i="8"/>
  <c r="F734" i="8"/>
  <c r="E734" i="8"/>
  <c r="D734" i="8"/>
  <c r="C734" i="8"/>
  <c r="B734" i="8"/>
  <c r="A734" i="8"/>
  <c r="F733" i="8"/>
  <c r="E733" i="8"/>
  <c r="D733" i="8"/>
  <c r="C733" i="8"/>
  <c r="B733" i="8"/>
  <c r="A733" i="8"/>
  <c r="F732" i="8"/>
  <c r="E732" i="8"/>
  <c r="D732" i="8"/>
  <c r="C732" i="8"/>
  <c r="B732" i="8"/>
  <c r="A732" i="8"/>
  <c r="F731" i="8"/>
  <c r="E731" i="8"/>
  <c r="D731" i="8"/>
  <c r="C731" i="8"/>
  <c r="B731" i="8"/>
  <c r="A731" i="8"/>
  <c r="F730" i="8"/>
  <c r="E730" i="8"/>
  <c r="D730" i="8"/>
  <c r="C730" i="8"/>
  <c r="B730" i="8"/>
  <c r="A730" i="8"/>
  <c r="F729" i="8"/>
  <c r="E729" i="8"/>
  <c r="D729" i="8"/>
  <c r="C729" i="8"/>
  <c r="B729" i="8"/>
  <c r="A729" i="8"/>
  <c r="F728" i="8"/>
  <c r="E728" i="8"/>
  <c r="D728" i="8"/>
  <c r="C728" i="8"/>
  <c r="B728" i="8"/>
  <c r="A728" i="8"/>
  <c r="F727" i="8"/>
  <c r="E727" i="8"/>
  <c r="D727" i="8"/>
  <c r="C727" i="8"/>
  <c r="B727" i="8"/>
  <c r="A727" i="8"/>
  <c r="F726" i="8"/>
  <c r="E726" i="8"/>
  <c r="D726" i="8"/>
  <c r="C726" i="8"/>
  <c r="B726" i="8"/>
  <c r="A726" i="8"/>
  <c r="F725" i="8"/>
  <c r="E725" i="8"/>
  <c r="D725" i="8"/>
  <c r="C725" i="8"/>
  <c r="B725" i="8"/>
  <c r="A725" i="8"/>
  <c r="F724" i="8"/>
  <c r="E724" i="8"/>
  <c r="D724" i="8"/>
  <c r="C724" i="8"/>
  <c r="B724" i="8"/>
  <c r="A724" i="8"/>
  <c r="F723" i="8"/>
  <c r="E723" i="8"/>
  <c r="D723" i="8"/>
  <c r="C723" i="8"/>
  <c r="B723" i="8"/>
  <c r="A723" i="8"/>
  <c r="F722" i="8"/>
  <c r="E722" i="8"/>
  <c r="D722" i="8"/>
  <c r="C722" i="8"/>
  <c r="B722" i="8"/>
  <c r="A722" i="8"/>
  <c r="G722" i="8" s="1"/>
  <c r="F721" i="8"/>
  <c r="E721" i="8"/>
  <c r="D721" i="8"/>
  <c r="C721" i="8"/>
  <c r="B721" i="8"/>
  <c r="A721" i="8"/>
  <c r="F720" i="8"/>
  <c r="E720" i="8"/>
  <c r="D720" i="8"/>
  <c r="C720" i="8"/>
  <c r="B720" i="8"/>
  <c r="A720" i="8"/>
  <c r="F719" i="8"/>
  <c r="E719" i="8"/>
  <c r="D719" i="8"/>
  <c r="C719" i="8"/>
  <c r="B719" i="8"/>
  <c r="A719" i="8"/>
  <c r="F718" i="8"/>
  <c r="E718" i="8"/>
  <c r="D718" i="8"/>
  <c r="C718" i="8"/>
  <c r="B718" i="8"/>
  <c r="A718" i="8"/>
  <c r="F717" i="8"/>
  <c r="E717" i="8"/>
  <c r="D717" i="8"/>
  <c r="C717" i="8"/>
  <c r="B717" i="8"/>
  <c r="A717" i="8"/>
  <c r="F716" i="8"/>
  <c r="E716" i="8"/>
  <c r="D716" i="8"/>
  <c r="C716" i="8"/>
  <c r="B716" i="8"/>
  <c r="A716" i="8"/>
  <c r="F715" i="8"/>
  <c r="G715" i="8" s="1"/>
  <c r="E715" i="8"/>
  <c r="D715" i="8"/>
  <c r="C715" i="8"/>
  <c r="B715" i="8"/>
  <c r="A715" i="8"/>
  <c r="F714" i="8"/>
  <c r="E714" i="8"/>
  <c r="D714" i="8"/>
  <c r="C714" i="8"/>
  <c r="B714" i="8"/>
  <c r="A714" i="8"/>
  <c r="F713" i="8"/>
  <c r="E713" i="8"/>
  <c r="D713" i="8"/>
  <c r="C713" i="8"/>
  <c r="B713" i="8"/>
  <c r="A713" i="8"/>
  <c r="F712" i="8"/>
  <c r="E712" i="8"/>
  <c r="D712" i="8"/>
  <c r="C712" i="8"/>
  <c r="B712" i="8"/>
  <c r="A712" i="8"/>
  <c r="F711" i="8"/>
  <c r="G711" i="8" s="1"/>
  <c r="E711" i="8"/>
  <c r="D711" i="8"/>
  <c r="C711" i="8"/>
  <c r="B711" i="8"/>
  <c r="A711" i="8"/>
  <c r="F710" i="8"/>
  <c r="E710" i="8"/>
  <c r="D710" i="8"/>
  <c r="C710" i="8"/>
  <c r="B710" i="8"/>
  <c r="A710" i="8"/>
  <c r="F709" i="8"/>
  <c r="E709" i="8"/>
  <c r="D709" i="8"/>
  <c r="C709" i="8"/>
  <c r="B709" i="8"/>
  <c r="A709" i="8"/>
  <c r="F708" i="8"/>
  <c r="E708" i="8"/>
  <c r="D708" i="8"/>
  <c r="C708" i="8"/>
  <c r="B708" i="8"/>
  <c r="A708" i="8"/>
  <c r="F707" i="8"/>
  <c r="G707" i="8" s="1"/>
  <c r="E707" i="8"/>
  <c r="D707" i="8"/>
  <c r="C707" i="8"/>
  <c r="B707" i="8"/>
  <c r="A707" i="8"/>
  <c r="F706" i="8"/>
  <c r="E706" i="8"/>
  <c r="D706" i="8"/>
  <c r="C706" i="8"/>
  <c r="B706" i="8"/>
  <c r="A706" i="8"/>
  <c r="G706" i="8" s="1"/>
  <c r="F705" i="8"/>
  <c r="E705" i="8"/>
  <c r="D705" i="8"/>
  <c r="C705" i="8"/>
  <c r="B705" i="8"/>
  <c r="A705" i="8"/>
  <c r="F704" i="8"/>
  <c r="E704" i="8"/>
  <c r="D704" i="8"/>
  <c r="C704" i="8"/>
  <c r="B704" i="8"/>
  <c r="A704" i="8"/>
  <c r="G704" i="8" s="1"/>
  <c r="F703" i="8"/>
  <c r="G703" i="8" s="1"/>
  <c r="E703" i="8"/>
  <c r="D703" i="8"/>
  <c r="C703" i="8"/>
  <c r="B703" i="8"/>
  <c r="A703" i="8"/>
  <c r="F702" i="8"/>
  <c r="E702" i="8"/>
  <c r="D702" i="8"/>
  <c r="C702" i="8"/>
  <c r="B702" i="8"/>
  <c r="A702" i="8"/>
  <c r="F701" i="8"/>
  <c r="E701" i="8"/>
  <c r="D701" i="8"/>
  <c r="C701" i="8"/>
  <c r="B701" i="8"/>
  <c r="A701" i="8"/>
  <c r="F700" i="8"/>
  <c r="E700" i="8"/>
  <c r="D700" i="8"/>
  <c r="C700" i="8"/>
  <c r="B700" i="8"/>
  <c r="A700" i="8"/>
  <c r="G700" i="8" s="1"/>
  <c r="F699" i="8"/>
  <c r="G699" i="8" s="1"/>
  <c r="E699" i="8"/>
  <c r="D699" i="8"/>
  <c r="C699" i="8"/>
  <c r="B699" i="8"/>
  <c r="A699" i="8"/>
  <c r="F698" i="8"/>
  <c r="E698" i="8"/>
  <c r="D698" i="8"/>
  <c r="C698" i="8"/>
  <c r="B698" i="8"/>
  <c r="A698" i="8"/>
  <c r="G698" i="8" s="1"/>
  <c r="F697" i="8"/>
  <c r="E697" i="8"/>
  <c r="D697" i="8"/>
  <c r="C697" i="8"/>
  <c r="B697" i="8"/>
  <c r="A697" i="8"/>
  <c r="F696" i="8"/>
  <c r="A696" i="8"/>
  <c r="G696" i="8" s="1"/>
  <c r="F695" i="8"/>
  <c r="G695" i="8" s="1"/>
  <c r="E695" i="8"/>
  <c r="D695" i="8"/>
  <c r="C695" i="8"/>
  <c r="B695" i="8"/>
  <c r="A695" i="8"/>
  <c r="F694" i="8"/>
  <c r="E694" i="8"/>
  <c r="D694" i="8"/>
  <c r="C694" i="8"/>
  <c r="B694" i="8"/>
  <c r="A694" i="8"/>
  <c r="G694" i="8" s="1"/>
  <c r="F693" i="8"/>
  <c r="A693" i="8"/>
  <c r="F692" i="8"/>
  <c r="A692" i="8"/>
  <c r="G692" i="8" s="1"/>
  <c r="F691" i="8"/>
  <c r="G691" i="8" s="1"/>
  <c r="E691" i="8"/>
  <c r="D691" i="8"/>
  <c r="C691" i="8"/>
  <c r="B691" i="8"/>
  <c r="A691" i="8"/>
  <c r="F690" i="8"/>
  <c r="E690" i="8"/>
  <c r="D690" i="8"/>
  <c r="C690" i="8"/>
  <c r="B690" i="8"/>
  <c r="A690" i="8"/>
  <c r="F689" i="8"/>
  <c r="E689" i="8"/>
  <c r="D689" i="8"/>
  <c r="C689" i="8"/>
  <c r="B689" i="8"/>
  <c r="A689" i="8"/>
  <c r="F688" i="8"/>
  <c r="E688" i="8"/>
  <c r="D688" i="8"/>
  <c r="C688" i="8"/>
  <c r="B688" i="8"/>
  <c r="A688" i="8"/>
  <c r="F687" i="8"/>
  <c r="E687" i="8"/>
  <c r="D687" i="8"/>
  <c r="C687" i="8"/>
  <c r="B687" i="8"/>
  <c r="A687" i="8"/>
  <c r="F686" i="8"/>
  <c r="E686" i="8"/>
  <c r="D686" i="8"/>
  <c r="C686" i="8"/>
  <c r="B686" i="8"/>
  <c r="A686" i="8"/>
  <c r="F685" i="8"/>
  <c r="E685" i="8"/>
  <c r="D685" i="8"/>
  <c r="C685" i="8"/>
  <c r="B685" i="8"/>
  <c r="A685" i="8"/>
  <c r="F684" i="8"/>
  <c r="E684" i="8"/>
  <c r="D684" i="8"/>
  <c r="C684" i="8"/>
  <c r="B684" i="8"/>
  <c r="A684" i="8"/>
  <c r="F683" i="8"/>
  <c r="E683" i="8"/>
  <c r="D683" i="8"/>
  <c r="C683" i="8"/>
  <c r="B683" i="8"/>
  <c r="A683" i="8"/>
  <c r="F682" i="8"/>
  <c r="E682" i="8"/>
  <c r="D682" i="8"/>
  <c r="C682" i="8"/>
  <c r="B682" i="8"/>
  <c r="A682" i="8"/>
  <c r="F681" i="8"/>
  <c r="E681" i="8"/>
  <c r="D681" i="8"/>
  <c r="C681" i="8"/>
  <c r="B681" i="8"/>
  <c r="A681" i="8"/>
  <c r="F680" i="8"/>
  <c r="E680" i="8"/>
  <c r="D680" i="8"/>
  <c r="C680" i="8"/>
  <c r="B680" i="8"/>
  <c r="A680" i="8"/>
  <c r="F679" i="8"/>
  <c r="E679" i="8"/>
  <c r="D679" i="8"/>
  <c r="C679" i="8"/>
  <c r="B679" i="8"/>
  <c r="A679" i="8"/>
  <c r="F678" i="8"/>
  <c r="E678" i="8"/>
  <c r="D678" i="8"/>
  <c r="C678" i="8"/>
  <c r="B678" i="8"/>
  <c r="A678" i="8"/>
  <c r="F677" i="8"/>
  <c r="E677" i="8"/>
  <c r="D677" i="8"/>
  <c r="C677" i="8"/>
  <c r="B677" i="8"/>
  <c r="A677" i="8"/>
  <c r="F676" i="8"/>
  <c r="E676" i="8"/>
  <c r="D676" i="8"/>
  <c r="C676" i="8"/>
  <c r="B676" i="8"/>
  <c r="A676" i="8"/>
  <c r="F675" i="8"/>
  <c r="E675" i="8"/>
  <c r="D675" i="8"/>
  <c r="C675" i="8"/>
  <c r="B675" i="8"/>
  <c r="A675" i="8"/>
  <c r="F674" i="8"/>
  <c r="E674" i="8"/>
  <c r="D674" i="8"/>
  <c r="C674" i="8"/>
  <c r="B674" i="8"/>
  <c r="A674" i="8"/>
  <c r="F673" i="8"/>
  <c r="E673" i="8"/>
  <c r="D673" i="8"/>
  <c r="C673" i="8"/>
  <c r="B673" i="8"/>
  <c r="A673" i="8"/>
  <c r="F672" i="8"/>
  <c r="E672" i="8"/>
  <c r="D672" i="8"/>
  <c r="C672" i="8"/>
  <c r="B672" i="8"/>
  <c r="A672" i="8"/>
  <c r="F671" i="8"/>
  <c r="E671" i="8"/>
  <c r="D671" i="8"/>
  <c r="C671" i="8"/>
  <c r="B671" i="8"/>
  <c r="A671" i="8"/>
  <c r="F670" i="8"/>
  <c r="E670" i="8"/>
  <c r="D670" i="8"/>
  <c r="C670" i="8"/>
  <c r="B670" i="8"/>
  <c r="A670" i="8"/>
  <c r="F669" i="8"/>
  <c r="E669" i="8"/>
  <c r="D669" i="8"/>
  <c r="C669" i="8"/>
  <c r="B669" i="8"/>
  <c r="A669" i="8"/>
  <c r="F668" i="8"/>
  <c r="E668" i="8"/>
  <c r="D668" i="8"/>
  <c r="C668" i="8"/>
  <c r="B668" i="8"/>
  <c r="A668" i="8"/>
  <c r="F667" i="8"/>
  <c r="G667" i="8" s="1"/>
  <c r="E667" i="8"/>
  <c r="D667" i="8"/>
  <c r="C667" i="8"/>
  <c r="B667" i="8"/>
  <c r="A667" i="8"/>
  <c r="F666" i="8"/>
  <c r="E666" i="8"/>
  <c r="D666" i="8"/>
  <c r="C666" i="8"/>
  <c r="B666" i="8"/>
  <c r="A666" i="8"/>
  <c r="F665" i="8"/>
  <c r="E665" i="8"/>
  <c r="D665" i="8"/>
  <c r="C665" i="8"/>
  <c r="B665" i="8"/>
  <c r="A665" i="8"/>
  <c r="F664" i="8"/>
  <c r="E664" i="8"/>
  <c r="D664" i="8"/>
  <c r="C664" i="8"/>
  <c r="B664" i="8"/>
  <c r="A664" i="8"/>
  <c r="F663" i="8"/>
  <c r="E663" i="8"/>
  <c r="D663" i="8"/>
  <c r="C663" i="8"/>
  <c r="B663" i="8"/>
  <c r="A663" i="8"/>
  <c r="F662" i="8"/>
  <c r="E662" i="8"/>
  <c r="D662" i="8"/>
  <c r="C662" i="8"/>
  <c r="B662" i="8"/>
  <c r="A662" i="8"/>
  <c r="F661" i="8"/>
  <c r="E661" i="8"/>
  <c r="D661" i="8"/>
  <c r="C661" i="8"/>
  <c r="B661" i="8"/>
  <c r="A661" i="8"/>
  <c r="F660" i="8"/>
  <c r="E660" i="8"/>
  <c r="D660" i="8"/>
  <c r="C660" i="8"/>
  <c r="B660" i="8"/>
  <c r="A660" i="8"/>
  <c r="F659" i="8"/>
  <c r="E659" i="8"/>
  <c r="D659" i="8"/>
  <c r="C659" i="8"/>
  <c r="B659" i="8"/>
  <c r="A659" i="8"/>
  <c r="F658" i="8"/>
  <c r="E658" i="8"/>
  <c r="D658" i="8"/>
  <c r="C658" i="8"/>
  <c r="B658" i="8"/>
  <c r="A658" i="8"/>
  <c r="F657" i="8"/>
  <c r="E657" i="8"/>
  <c r="D657" i="8"/>
  <c r="C657" i="8"/>
  <c r="B657" i="8"/>
  <c r="A657" i="8"/>
  <c r="F656" i="8"/>
  <c r="E656" i="8"/>
  <c r="D656" i="8"/>
  <c r="C656" i="8"/>
  <c r="B656" i="8"/>
  <c r="A656" i="8"/>
  <c r="F655" i="8"/>
  <c r="E655" i="8"/>
  <c r="D655" i="8"/>
  <c r="C655" i="8"/>
  <c r="B655" i="8"/>
  <c r="A655" i="8"/>
  <c r="F654" i="8"/>
  <c r="E654" i="8"/>
  <c r="D654" i="8"/>
  <c r="C654" i="8"/>
  <c r="B654" i="8"/>
  <c r="A654" i="8"/>
  <c r="G654" i="8" s="1"/>
  <c r="F653" i="8"/>
  <c r="E653" i="8"/>
  <c r="D653" i="8"/>
  <c r="C653" i="8"/>
  <c r="B653" i="8"/>
  <c r="A653" i="8"/>
  <c r="F652" i="8"/>
  <c r="E652" i="8"/>
  <c r="D652" i="8"/>
  <c r="C652" i="8"/>
  <c r="B652" i="8"/>
  <c r="A652" i="8"/>
  <c r="F651" i="8"/>
  <c r="G651" i="8" s="1"/>
  <c r="E651" i="8"/>
  <c r="D651" i="8"/>
  <c r="C651" i="8"/>
  <c r="B651" i="8"/>
  <c r="A651" i="8"/>
  <c r="F650" i="8"/>
  <c r="E650" i="8"/>
  <c r="D650" i="8"/>
  <c r="C650" i="8"/>
  <c r="B650" i="8"/>
  <c r="A650" i="8"/>
  <c r="F649" i="8"/>
  <c r="E649" i="8"/>
  <c r="D649" i="8"/>
  <c r="C649" i="8"/>
  <c r="B649" i="8"/>
  <c r="A649" i="8"/>
  <c r="F648" i="8"/>
  <c r="E648" i="8"/>
  <c r="D648" i="8"/>
  <c r="C648" i="8"/>
  <c r="B648" i="8"/>
  <c r="A648" i="8"/>
  <c r="F647" i="8"/>
  <c r="G647" i="8" s="1"/>
  <c r="E647" i="8"/>
  <c r="D647" i="8"/>
  <c r="C647" i="8"/>
  <c r="B647" i="8"/>
  <c r="A647" i="8"/>
  <c r="F646" i="8"/>
  <c r="E646" i="8"/>
  <c r="D646" i="8"/>
  <c r="C646" i="8"/>
  <c r="B646" i="8"/>
  <c r="A646" i="8"/>
  <c r="G646" i="8" s="1"/>
  <c r="F645" i="8"/>
  <c r="E645" i="8"/>
  <c r="D645" i="8"/>
  <c r="C645" i="8"/>
  <c r="B645" i="8"/>
  <c r="A645" i="8"/>
  <c r="F644" i="8"/>
  <c r="E644" i="8"/>
  <c r="D644" i="8"/>
  <c r="C644" i="8"/>
  <c r="B644" i="8"/>
  <c r="A644" i="8"/>
  <c r="G644" i="8" s="1"/>
  <c r="F643" i="8"/>
  <c r="G643" i="8" s="1"/>
  <c r="E643" i="8"/>
  <c r="D643" i="8"/>
  <c r="C643" i="8"/>
  <c r="B643" i="8"/>
  <c r="A643" i="8"/>
  <c r="F642" i="8"/>
  <c r="E642" i="8"/>
  <c r="D642" i="8"/>
  <c r="C642" i="8"/>
  <c r="B642" i="8"/>
  <c r="A642" i="8"/>
  <c r="F641" i="8"/>
  <c r="E641" i="8"/>
  <c r="D641" i="8"/>
  <c r="C641" i="8"/>
  <c r="B641" i="8"/>
  <c r="A641" i="8"/>
  <c r="F640" i="8"/>
  <c r="E640" i="8"/>
  <c r="D640" i="8"/>
  <c r="C640" i="8"/>
  <c r="B640" i="8"/>
  <c r="A640" i="8"/>
  <c r="G640" i="8" s="1"/>
  <c r="F639" i="8"/>
  <c r="E639" i="8"/>
  <c r="D639" i="8"/>
  <c r="C639" i="8"/>
  <c r="B639" i="8"/>
  <c r="A639" i="8"/>
  <c r="F638" i="8"/>
  <c r="E638" i="8"/>
  <c r="D638" i="8"/>
  <c r="C638" i="8"/>
  <c r="B638" i="8"/>
  <c r="A638" i="8"/>
  <c r="G638" i="8" s="1"/>
  <c r="F637" i="8"/>
  <c r="G637" i="8" s="1"/>
  <c r="E637" i="8"/>
  <c r="D637" i="8"/>
  <c r="C637" i="8"/>
  <c r="B637" i="8"/>
  <c r="A637" i="8"/>
  <c r="F636" i="8"/>
  <c r="E636" i="8"/>
  <c r="D636" i="8"/>
  <c r="C636" i="8"/>
  <c r="B636" i="8"/>
  <c r="A636" i="8"/>
  <c r="G636" i="8" s="1"/>
  <c r="F635" i="8"/>
  <c r="E635" i="8"/>
  <c r="D635" i="8"/>
  <c r="C635" i="8"/>
  <c r="B635" i="8"/>
  <c r="A635" i="8"/>
  <c r="G635" i="8" s="1"/>
  <c r="F634" i="8"/>
  <c r="E634" i="8"/>
  <c r="D634" i="8"/>
  <c r="C634" i="8"/>
  <c r="B634" i="8"/>
  <c r="A634" i="8"/>
  <c r="F633" i="8"/>
  <c r="E633" i="8"/>
  <c r="D633" i="8"/>
  <c r="C633" i="8"/>
  <c r="B633" i="8"/>
  <c r="A633" i="8"/>
  <c r="F632" i="8"/>
  <c r="E632" i="8"/>
  <c r="D632" i="8"/>
  <c r="C632" i="8"/>
  <c r="B632" i="8"/>
  <c r="A632" i="8"/>
  <c r="F631" i="8"/>
  <c r="E631" i="8"/>
  <c r="D631" i="8"/>
  <c r="C631" i="8"/>
  <c r="B631" i="8"/>
  <c r="A631" i="8"/>
  <c r="F630" i="8"/>
  <c r="E630" i="8"/>
  <c r="D630" i="8"/>
  <c r="C630" i="8"/>
  <c r="B630" i="8"/>
  <c r="A630" i="8"/>
  <c r="F629" i="8"/>
  <c r="E629" i="8"/>
  <c r="D629" i="8"/>
  <c r="C629" i="8"/>
  <c r="B629" i="8"/>
  <c r="A629" i="8"/>
  <c r="F628" i="8"/>
  <c r="E628" i="8"/>
  <c r="D628" i="8"/>
  <c r="C628" i="8"/>
  <c r="B628" i="8"/>
  <c r="A628" i="8"/>
  <c r="F627" i="8"/>
  <c r="E627" i="8"/>
  <c r="D627" i="8"/>
  <c r="C627" i="8"/>
  <c r="B627" i="8"/>
  <c r="A627" i="8"/>
  <c r="F626" i="8"/>
  <c r="E626" i="8"/>
  <c r="D626" i="8"/>
  <c r="C626" i="8"/>
  <c r="B626" i="8"/>
  <c r="A626" i="8"/>
  <c r="F625" i="8"/>
  <c r="E625" i="8"/>
  <c r="D625" i="8"/>
  <c r="C625" i="8"/>
  <c r="B625" i="8"/>
  <c r="A625" i="8"/>
  <c r="F624" i="8"/>
  <c r="E624" i="8"/>
  <c r="D624" i="8"/>
  <c r="C624" i="8"/>
  <c r="B624" i="8"/>
  <c r="A624" i="8"/>
  <c r="F623" i="8"/>
  <c r="E623" i="8"/>
  <c r="D623" i="8"/>
  <c r="C623" i="8"/>
  <c r="B623" i="8"/>
  <c r="A623" i="8"/>
  <c r="F622" i="8"/>
  <c r="G622" i="8" s="1"/>
  <c r="E622" i="8"/>
  <c r="D622" i="8"/>
  <c r="C622" i="8"/>
  <c r="B622" i="8"/>
  <c r="A622" i="8"/>
  <c r="F621" i="8"/>
  <c r="E621" i="8"/>
  <c r="D621" i="8"/>
  <c r="C621" i="8"/>
  <c r="B621" i="8"/>
  <c r="A621" i="8"/>
  <c r="F620" i="8"/>
  <c r="E620" i="8"/>
  <c r="D620" i="8"/>
  <c r="C620" i="8"/>
  <c r="B620" i="8"/>
  <c r="A620" i="8"/>
  <c r="F619" i="8"/>
  <c r="E619" i="8"/>
  <c r="D619" i="8"/>
  <c r="C619" i="8"/>
  <c r="B619" i="8"/>
  <c r="A619" i="8"/>
  <c r="F618" i="8"/>
  <c r="E618" i="8"/>
  <c r="D618" i="8"/>
  <c r="C618" i="8"/>
  <c r="B618" i="8"/>
  <c r="A618" i="8"/>
  <c r="F617" i="8"/>
  <c r="E617" i="8"/>
  <c r="D617" i="8"/>
  <c r="C617" i="8"/>
  <c r="B617" i="8"/>
  <c r="A617" i="8"/>
  <c r="F616" i="8"/>
  <c r="E616" i="8"/>
  <c r="D616" i="8"/>
  <c r="C616" i="8"/>
  <c r="B616" i="8"/>
  <c r="A616" i="8"/>
  <c r="F615" i="8"/>
  <c r="E615" i="8"/>
  <c r="D615" i="8"/>
  <c r="C615" i="8"/>
  <c r="B615" i="8"/>
  <c r="A615" i="8"/>
  <c r="F614" i="8"/>
  <c r="E614" i="8"/>
  <c r="D614" i="8"/>
  <c r="C614" i="8"/>
  <c r="B614" i="8"/>
  <c r="A614" i="8"/>
  <c r="F613" i="8"/>
  <c r="E613" i="8"/>
  <c r="D613" i="8"/>
  <c r="C613" i="8"/>
  <c r="A613" i="8"/>
  <c r="F612" i="8"/>
  <c r="E612" i="8"/>
  <c r="D612" i="8"/>
  <c r="C612" i="8"/>
  <c r="B612" i="8"/>
  <c r="A612" i="8"/>
  <c r="G612" i="8" s="1"/>
  <c r="F611" i="8"/>
  <c r="E611" i="8"/>
  <c r="D611" i="8"/>
  <c r="C611" i="8"/>
  <c r="B611" i="8"/>
  <c r="A611" i="8"/>
  <c r="F610" i="8"/>
  <c r="E610" i="8"/>
  <c r="D610" i="8"/>
  <c r="C610" i="8"/>
  <c r="B610" i="8"/>
  <c r="A610" i="8"/>
  <c r="F609" i="8"/>
  <c r="E609" i="8"/>
  <c r="D609" i="8"/>
  <c r="C609" i="8"/>
  <c r="B609" i="8"/>
  <c r="A609" i="8"/>
  <c r="F608" i="8"/>
  <c r="E608" i="8"/>
  <c r="D608" i="8"/>
  <c r="C608" i="8"/>
  <c r="B608" i="8"/>
  <c r="A608" i="8"/>
  <c r="F607" i="8"/>
  <c r="E607" i="8"/>
  <c r="D607" i="8"/>
  <c r="C607" i="8"/>
  <c r="B607" i="8"/>
  <c r="A607" i="8"/>
  <c r="F606" i="8"/>
  <c r="E606" i="8"/>
  <c r="D606" i="8"/>
  <c r="C606" i="8"/>
  <c r="B606" i="8"/>
  <c r="A606" i="8"/>
  <c r="F605" i="8"/>
  <c r="E605" i="8"/>
  <c r="D605" i="8"/>
  <c r="C605" i="8"/>
  <c r="B605" i="8"/>
  <c r="A605" i="8"/>
  <c r="F604" i="8"/>
  <c r="E604" i="8"/>
  <c r="D604" i="8"/>
  <c r="C604" i="8"/>
  <c r="B604" i="8"/>
  <c r="A604" i="8"/>
  <c r="F603" i="8"/>
  <c r="G603" i="8" s="1"/>
  <c r="E603" i="8"/>
  <c r="D603" i="8"/>
  <c r="C603" i="8"/>
  <c r="B603" i="8"/>
  <c r="A603" i="8"/>
  <c r="F602" i="8"/>
  <c r="E602" i="8"/>
  <c r="D602" i="8"/>
  <c r="C602" i="8"/>
  <c r="B602" i="8"/>
  <c r="A602" i="8"/>
  <c r="F601" i="8"/>
  <c r="E601" i="8"/>
  <c r="D601" i="8"/>
  <c r="C601" i="8"/>
  <c r="B601" i="8"/>
  <c r="A601" i="8"/>
  <c r="F600" i="8"/>
  <c r="E600" i="8"/>
  <c r="D600" i="8"/>
  <c r="C600" i="8"/>
  <c r="B600" i="8"/>
  <c r="A600" i="8"/>
  <c r="F599" i="8"/>
  <c r="E599" i="8"/>
  <c r="D599" i="8"/>
  <c r="C599" i="8"/>
  <c r="B599" i="8"/>
  <c r="A599" i="8"/>
  <c r="F598" i="8"/>
  <c r="E598" i="8"/>
  <c r="D598" i="8"/>
  <c r="C598" i="8"/>
  <c r="B598" i="8"/>
  <c r="A598" i="8"/>
  <c r="F597" i="8"/>
  <c r="E597" i="8"/>
  <c r="D597" i="8"/>
  <c r="C597" i="8"/>
  <c r="B597" i="8"/>
  <c r="A597" i="8"/>
  <c r="F596" i="8"/>
  <c r="E596" i="8"/>
  <c r="D596" i="8"/>
  <c r="C596" i="8"/>
  <c r="B596" i="8"/>
  <c r="A596" i="8"/>
  <c r="F595" i="8"/>
  <c r="E595" i="8"/>
  <c r="D595" i="8"/>
  <c r="C595" i="8"/>
  <c r="B595" i="8"/>
  <c r="A595" i="8"/>
  <c r="F594" i="8"/>
  <c r="E594" i="8"/>
  <c r="D594" i="8"/>
  <c r="C594" i="8"/>
  <c r="B594" i="8"/>
  <c r="A594" i="8"/>
  <c r="F593" i="8"/>
  <c r="E593" i="8"/>
  <c r="D593" i="8"/>
  <c r="C593" i="8"/>
  <c r="B593" i="8"/>
  <c r="A593" i="8"/>
  <c r="F592" i="8"/>
  <c r="E592" i="8"/>
  <c r="D592" i="8"/>
  <c r="C592" i="8"/>
  <c r="B592" i="8"/>
  <c r="A592" i="8"/>
  <c r="F591" i="8"/>
  <c r="E591" i="8"/>
  <c r="D591" i="8"/>
  <c r="C591" i="8"/>
  <c r="B591" i="8"/>
  <c r="A591" i="8"/>
  <c r="F590" i="8"/>
  <c r="E590" i="8"/>
  <c r="D590" i="8"/>
  <c r="C590" i="8"/>
  <c r="B590" i="8"/>
  <c r="A590" i="8"/>
  <c r="F589" i="8"/>
  <c r="E589" i="8"/>
  <c r="D589" i="8"/>
  <c r="C589" i="8"/>
  <c r="B589" i="8"/>
  <c r="A589" i="8"/>
  <c r="F588" i="8"/>
  <c r="G588" i="8" s="1"/>
  <c r="E588" i="8"/>
  <c r="D588" i="8"/>
  <c r="C588" i="8"/>
  <c r="B588" i="8"/>
  <c r="A588" i="8"/>
  <c r="F587" i="8"/>
  <c r="E587" i="8"/>
  <c r="D587" i="8"/>
  <c r="C587" i="8"/>
  <c r="B587" i="8"/>
  <c r="A587" i="8"/>
  <c r="F586" i="8"/>
  <c r="E586" i="8"/>
  <c r="D586" i="8"/>
  <c r="C586" i="8"/>
  <c r="B586" i="8"/>
  <c r="A586" i="8"/>
  <c r="F585" i="8"/>
  <c r="E585" i="8"/>
  <c r="D585" i="8"/>
  <c r="C585" i="8"/>
  <c r="B585" i="8"/>
  <c r="A585" i="8"/>
  <c r="F584" i="8"/>
  <c r="E584" i="8"/>
  <c r="D584" i="8"/>
  <c r="C584" i="8"/>
  <c r="B584" i="8"/>
  <c r="A584" i="8"/>
  <c r="F583" i="8"/>
  <c r="E583" i="8"/>
  <c r="D583" i="8"/>
  <c r="C583" i="8"/>
  <c r="B583" i="8"/>
  <c r="A583" i="8"/>
  <c r="F582" i="8"/>
  <c r="E582" i="8"/>
  <c r="D582" i="8"/>
  <c r="C582" i="8"/>
  <c r="B582" i="8"/>
  <c r="A582" i="8"/>
  <c r="F581" i="8"/>
  <c r="E581" i="8"/>
  <c r="D581" i="8"/>
  <c r="C581" i="8"/>
  <c r="B581" i="8"/>
  <c r="A581" i="8"/>
  <c r="F580" i="8"/>
  <c r="E580" i="8"/>
  <c r="D580" i="8"/>
  <c r="C580" i="8"/>
  <c r="B580" i="8"/>
  <c r="A580" i="8"/>
  <c r="F579" i="8"/>
  <c r="E579" i="8"/>
  <c r="D579" i="8"/>
  <c r="C579" i="8"/>
  <c r="B579" i="8"/>
  <c r="A579" i="8"/>
  <c r="F578" i="8"/>
  <c r="E578" i="8"/>
  <c r="D578" i="8"/>
  <c r="C578" i="8"/>
  <c r="B578" i="8"/>
  <c r="A578" i="8"/>
  <c r="F577" i="8"/>
  <c r="E577" i="8"/>
  <c r="D577" i="8"/>
  <c r="C577" i="8"/>
  <c r="B577" i="8"/>
  <c r="A577" i="8"/>
  <c r="F576" i="8"/>
  <c r="E576" i="8"/>
  <c r="D576" i="8"/>
  <c r="C576" i="8"/>
  <c r="B576" i="8"/>
  <c r="A576" i="8"/>
  <c r="F575" i="8"/>
  <c r="E575" i="8"/>
  <c r="D575" i="8"/>
  <c r="C575" i="8"/>
  <c r="B575" i="8"/>
  <c r="A575" i="8"/>
  <c r="F574" i="8"/>
  <c r="E574" i="8"/>
  <c r="D574" i="8"/>
  <c r="C574" i="8"/>
  <c r="B574" i="8"/>
  <c r="A574" i="8"/>
  <c r="F573" i="8"/>
  <c r="E573" i="8"/>
  <c r="D573" i="8"/>
  <c r="C573" i="8"/>
  <c r="B573" i="8"/>
  <c r="A573" i="8"/>
  <c r="G573" i="8" s="1"/>
  <c r="F572" i="8"/>
  <c r="E572" i="8"/>
  <c r="D572" i="8"/>
  <c r="C572" i="8"/>
  <c r="B572" i="8"/>
  <c r="A572" i="8"/>
  <c r="F571" i="8"/>
  <c r="E571" i="8"/>
  <c r="D571" i="8"/>
  <c r="C571" i="8"/>
  <c r="B571" i="8"/>
  <c r="A571" i="8"/>
  <c r="F570" i="8"/>
  <c r="E570" i="8"/>
  <c r="D570" i="8"/>
  <c r="C570" i="8"/>
  <c r="B570" i="8"/>
  <c r="A570" i="8"/>
  <c r="F569" i="8"/>
  <c r="E569" i="8"/>
  <c r="D569" i="8"/>
  <c r="C569" i="8"/>
  <c r="B569" i="8"/>
  <c r="A569" i="8"/>
  <c r="F568" i="8"/>
  <c r="E568" i="8"/>
  <c r="D568" i="8"/>
  <c r="C568" i="8"/>
  <c r="B568" i="8"/>
  <c r="A568" i="8"/>
  <c r="F567" i="8"/>
  <c r="E567" i="8"/>
  <c r="D567" i="8"/>
  <c r="C567" i="8"/>
  <c r="B567" i="8"/>
  <c r="A567" i="8"/>
  <c r="F566" i="8"/>
  <c r="E566" i="8"/>
  <c r="D566" i="8"/>
  <c r="C566" i="8"/>
  <c r="B566" i="8"/>
  <c r="A566" i="8"/>
  <c r="F565" i="8"/>
  <c r="A565" i="8"/>
  <c r="F564" i="8"/>
  <c r="G564" i="8" s="1"/>
  <c r="E564" i="8"/>
  <c r="D564" i="8"/>
  <c r="C564" i="8"/>
  <c r="A564" i="8"/>
  <c r="F563" i="8"/>
  <c r="E563" i="8"/>
  <c r="D563" i="8"/>
  <c r="C563" i="8"/>
  <c r="A563" i="8"/>
  <c r="F562" i="8"/>
  <c r="E562" i="8"/>
  <c r="D562" i="8"/>
  <c r="C562" i="8"/>
  <c r="A562" i="8"/>
  <c r="G561" i="8"/>
  <c r="E561" i="8"/>
  <c r="D561" i="8"/>
  <c r="C561" i="8"/>
  <c r="F560" i="8"/>
  <c r="E560" i="8"/>
  <c r="D560" i="8"/>
  <c r="C560" i="8"/>
  <c r="A560" i="8"/>
  <c r="F559" i="8"/>
  <c r="E559" i="8"/>
  <c r="D559" i="8"/>
  <c r="C559" i="8"/>
  <c r="B559" i="8"/>
  <c r="A559" i="8"/>
  <c r="F558" i="8"/>
  <c r="E558" i="8"/>
  <c r="D558" i="8"/>
  <c r="C558" i="8"/>
  <c r="B558" i="8"/>
  <c r="A558" i="8"/>
  <c r="F557" i="8"/>
  <c r="E557" i="8"/>
  <c r="D557" i="8"/>
  <c r="C557" i="8"/>
  <c r="B557" i="8"/>
  <c r="A557" i="8"/>
  <c r="F556" i="8"/>
  <c r="E556" i="8"/>
  <c r="D556" i="8"/>
  <c r="C556" i="8"/>
  <c r="B556" i="8"/>
  <c r="A556" i="8"/>
  <c r="F555" i="8"/>
  <c r="E555" i="8"/>
  <c r="D555" i="8"/>
  <c r="C555" i="8"/>
  <c r="B555" i="8"/>
  <c r="A555" i="8"/>
  <c r="F554" i="8"/>
  <c r="E554" i="8"/>
  <c r="D554" i="8"/>
  <c r="C554" i="8"/>
  <c r="B554" i="8"/>
  <c r="A554" i="8"/>
  <c r="F553" i="8"/>
  <c r="E553" i="8"/>
  <c r="D553" i="8"/>
  <c r="C553" i="8"/>
  <c r="B553" i="8"/>
  <c r="A553" i="8"/>
  <c r="F552" i="8"/>
  <c r="E552" i="8"/>
  <c r="D552" i="8"/>
  <c r="C552" i="8"/>
  <c r="B552" i="8"/>
  <c r="A552" i="8"/>
  <c r="F551" i="8"/>
  <c r="E551" i="8"/>
  <c r="D551" i="8"/>
  <c r="C551" i="8"/>
  <c r="B551" i="8"/>
  <c r="A551" i="8"/>
  <c r="F550" i="8"/>
  <c r="E550" i="8"/>
  <c r="D550" i="8"/>
  <c r="C550" i="8"/>
  <c r="B550" i="8"/>
  <c r="A550" i="8"/>
  <c r="F549" i="8"/>
  <c r="E549" i="8"/>
  <c r="D549" i="8"/>
  <c r="C549" i="8"/>
  <c r="B549" i="8"/>
  <c r="A549" i="8"/>
  <c r="F548" i="8"/>
  <c r="E548" i="8"/>
  <c r="D548" i="8"/>
  <c r="C548" i="8"/>
  <c r="B548" i="8"/>
  <c r="A548" i="8"/>
  <c r="F547" i="8"/>
  <c r="G547" i="8" s="1"/>
  <c r="E547" i="8"/>
  <c r="D547" i="8"/>
  <c r="C547" i="8"/>
  <c r="B547" i="8"/>
  <c r="A547" i="8"/>
  <c r="F546" i="8"/>
  <c r="E546" i="8"/>
  <c r="D546" i="8"/>
  <c r="C546" i="8"/>
  <c r="B546" i="8"/>
  <c r="A546" i="8"/>
  <c r="F545" i="8"/>
  <c r="E545" i="8"/>
  <c r="D545" i="8"/>
  <c r="C545" i="8"/>
  <c r="A545" i="8"/>
  <c r="F544" i="8"/>
  <c r="E544" i="8"/>
  <c r="D544" i="8"/>
  <c r="C544" i="8"/>
  <c r="A544" i="8"/>
  <c r="F543" i="8"/>
  <c r="E543" i="8"/>
  <c r="D543" i="8"/>
  <c r="C543" i="8"/>
  <c r="B543" i="8"/>
  <c r="A543" i="8"/>
  <c r="F542" i="8"/>
  <c r="A542" i="8"/>
  <c r="F541" i="8"/>
  <c r="E541" i="8"/>
  <c r="D541" i="8"/>
  <c r="C541" i="8"/>
  <c r="B541" i="8"/>
  <c r="A541" i="8"/>
  <c r="F540" i="8"/>
  <c r="E540" i="8"/>
  <c r="D540" i="8"/>
  <c r="C540" i="8"/>
  <c r="B540" i="8"/>
  <c r="A540" i="8"/>
  <c r="F539" i="8"/>
  <c r="E539" i="8"/>
  <c r="D539" i="8"/>
  <c r="C539" i="8"/>
  <c r="A539" i="8"/>
  <c r="F538" i="8"/>
  <c r="E538" i="8"/>
  <c r="D538" i="8"/>
  <c r="C538" i="8"/>
  <c r="A538" i="8"/>
  <c r="F537" i="8"/>
  <c r="A537" i="8"/>
  <c r="F536" i="8"/>
  <c r="B536" i="8"/>
  <c r="A536" i="8"/>
  <c r="F535" i="8"/>
  <c r="E535" i="8"/>
  <c r="D535" i="8"/>
  <c r="C535" i="8"/>
  <c r="B535" i="8"/>
  <c r="A535" i="8"/>
  <c r="F534" i="8"/>
  <c r="E534" i="8"/>
  <c r="D534" i="8"/>
  <c r="C534" i="8"/>
  <c r="B534" i="8"/>
  <c r="A534" i="8"/>
  <c r="F533" i="8"/>
  <c r="A533" i="8"/>
  <c r="F532" i="8"/>
  <c r="E532" i="8"/>
  <c r="D532" i="8"/>
  <c r="C532" i="8"/>
  <c r="B532" i="8"/>
  <c r="A532" i="8"/>
  <c r="F531" i="8"/>
  <c r="E531" i="8"/>
  <c r="D531" i="8"/>
  <c r="C531" i="8"/>
  <c r="B531" i="8"/>
  <c r="A531" i="8"/>
  <c r="F530" i="8"/>
  <c r="E530" i="8"/>
  <c r="D530" i="8"/>
  <c r="C530" i="8"/>
  <c r="B530" i="8"/>
  <c r="A530" i="8"/>
  <c r="F529" i="8"/>
  <c r="G529" i="8" s="1"/>
  <c r="E529" i="8"/>
  <c r="D529" i="8"/>
  <c r="C529" i="8"/>
  <c r="B529" i="8"/>
  <c r="A529" i="8"/>
  <c r="F528" i="8"/>
  <c r="E528" i="8"/>
  <c r="D528" i="8"/>
  <c r="C528" i="8"/>
  <c r="B528" i="8"/>
  <c r="A528" i="8"/>
  <c r="F527" i="8"/>
  <c r="E527" i="8"/>
  <c r="D527" i="8"/>
  <c r="C527" i="8"/>
  <c r="B527" i="8"/>
  <c r="A527" i="8"/>
  <c r="F526" i="8"/>
  <c r="E526" i="8"/>
  <c r="D526" i="8"/>
  <c r="C526" i="8"/>
  <c r="B526" i="8"/>
  <c r="A526" i="8"/>
  <c r="F525" i="8"/>
  <c r="E525" i="8"/>
  <c r="D525" i="8"/>
  <c r="C525" i="8"/>
  <c r="B525" i="8"/>
  <c r="A525" i="8"/>
  <c r="F524" i="8"/>
  <c r="E524" i="8"/>
  <c r="D524" i="8"/>
  <c r="C524" i="8"/>
  <c r="B524" i="8"/>
  <c r="A524" i="8"/>
  <c r="F523" i="8"/>
  <c r="E523" i="8"/>
  <c r="D523" i="8"/>
  <c r="C523" i="8"/>
  <c r="B523" i="8"/>
  <c r="A523" i="8"/>
  <c r="F522" i="8"/>
  <c r="G522" i="8" s="1"/>
  <c r="E522" i="8"/>
  <c r="D522" i="8"/>
  <c r="C522" i="8"/>
  <c r="B522" i="8"/>
  <c r="A522" i="8"/>
  <c r="F521" i="8"/>
  <c r="E521" i="8"/>
  <c r="D521" i="8"/>
  <c r="C521" i="8"/>
  <c r="B521" i="8"/>
  <c r="A521" i="8"/>
  <c r="F520" i="8"/>
  <c r="E520" i="8"/>
  <c r="D520" i="8"/>
  <c r="C520" i="8"/>
  <c r="B520" i="8"/>
  <c r="A520" i="8"/>
  <c r="F519" i="8"/>
  <c r="E519" i="8"/>
  <c r="D519" i="8"/>
  <c r="C519" i="8"/>
  <c r="B519" i="8"/>
  <c r="A519" i="8"/>
  <c r="F518" i="8"/>
  <c r="E518" i="8"/>
  <c r="D518" i="8"/>
  <c r="C518" i="8"/>
  <c r="B518" i="8"/>
  <c r="A518" i="8"/>
  <c r="F517" i="8"/>
  <c r="E517" i="8"/>
  <c r="D517" i="8"/>
  <c r="C517" i="8"/>
  <c r="B517" i="8"/>
  <c r="A517" i="8"/>
  <c r="F516" i="8"/>
  <c r="E516" i="8"/>
  <c r="D516" i="8"/>
  <c r="C516" i="8"/>
  <c r="B516" i="8"/>
  <c r="A516" i="8"/>
  <c r="F515" i="8"/>
  <c r="E515" i="8"/>
  <c r="D515" i="8"/>
  <c r="C515" i="8"/>
  <c r="B515" i="8"/>
  <c r="A515" i="8"/>
  <c r="F514" i="8"/>
  <c r="E514" i="8"/>
  <c r="D514" i="8"/>
  <c r="C514" i="8"/>
  <c r="B514" i="8"/>
  <c r="A514" i="8"/>
  <c r="F513" i="8"/>
  <c r="E513" i="8"/>
  <c r="D513" i="8"/>
  <c r="C513" i="8"/>
  <c r="B513" i="8"/>
  <c r="A513" i="8"/>
  <c r="F512" i="8"/>
  <c r="E512" i="8"/>
  <c r="D512" i="8"/>
  <c r="C512" i="8"/>
  <c r="B512" i="8"/>
  <c r="A512" i="8"/>
  <c r="F511" i="8"/>
  <c r="E511" i="8"/>
  <c r="D511" i="8"/>
  <c r="C511" i="8"/>
  <c r="B511" i="8"/>
  <c r="A511" i="8"/>
  <c r="F510" i="8"/>
  <c r="E510" i="8"/>
  <c r="D510" i="8"/>
  <c r="C510" i="8"/>
  <c r="B510" i="8"/>
  <c r="A510" i="8"/>
  <c r="F509" i="8"/>
  <c r="E509" i="8"/>
  <c r="D509" i="8"/>
  <c r="C509" i="8"/>
  <c r="B509" i="8"/>
  <c r="A509" i="8"/>
  <c r="F508" i="8"/>
  <c r="E508" i="8"/>
  <c r="D508" i="8"/>
  <c r="C508" i="8"/>
  <c r="B508" i="8"/>
  <c r="A508" i="8"/>
  <c r="F507" i="8"/>
  <c r="E507" i="8"/>
  <c r="D507" i="8"/>
  <c r="C507" i="8"/>
  <c r="B507" i="8"/>
  <c r="A507" i="8"/>
  <c r="F506" i="8"/>
  <c r="E506" i="8"/>
  <c r="D506" i="8"/>
  <c r="C506" i="8"/>
  <c r="B506" i="8"/>
  <c r="A506" i="8"/>
  <c r="F505" i="8"/>
  <c r="E505" i="8"/>
  <c r="D505" i="8"/>
  <c r="C505" i="8"/>
  <c r="B505" i="8"/>
  <c r="A505" i="8"/>
  <c r="F504" i="8"/>
  <c r="E504" i="8"/>
  <c r="D504" i="8"/>
  <c r="C504" i="8"/>
  <c r="B504" i="8"/>
  <c r="A504" i="8"/>
  <c r="F503" i="8"/>
  <c r="E503" i="8"/>
  <c r="D503" i="8"/>
  <c r="C503" i="8"/>
  <c r="B503" i="8"/>
  <c r="A503" i="8"/>
  <c r="F502" i="8"/>
  <c r="E502" i="8"/>
  <c r="D502" i="8"/>
  <c r="C502" i="8"/>
  <c r="B502" i="8"/>
  <c r="A502" i="8"/>
  <c r="F501" i="8"/>
  <c r="E501" i="8"/>
  <c r="D501" i="8"/>
  <c r="C501" i="8"/>
  <c r="B501" i="8"/>
  <c r="A501" i="8"/>
  <c r="F500" i="8"/>
  <c r="E500" i="8"/>
  <c r="D500" i="8"/>
  <c r="C500" i="8"/>
  <c r="B500" i="8"/>
  <c r="A500" i="8"/>
  <c r="F499" i="8"/>
  <c r="E499" i="8"/>
  <c r="D499" i="8"/>
  <c r="C499" i="8"/>
  <c r="B499" i="8"/>
  <c r="A499" i="8"/>
  <c r="F498" i="8"/>
  <c r="E498" i="8"/>
  <c r="D498" i="8"/>
  <c r="C498" i="8"/>
  <c r="B498" i="8"/>
  <c r="A498" i="8"/>
  <c r="F497" i="8"/>
  <c r="E497" i="8"/>
  <c r="D497" i="8"/>
  <c r="C497" i="8"/>
  <c r="B497" i="8"/>
  <c r="A497" i="8"/>
  <c r="F496" i="8"/>
  <c r="E496" i="8"/>
  <c r="D496" i="8"/>
  <c r="C496" i="8"/>
  <c r="B496" i="8"/>
  <c r="A496" i="8"/>
  <c r="F495" i="8"/>
  <c r="E495" i="8"/>
  <c r="D495" i="8"/>
  <c r="C495" i="8"/>
  <c r="B495" i="8"/>
  <c r="A495" i="8"/>
  <c r="F494" i="8"/>
  <c r="E494" i="8"/>
  <c r="D494" i="8"/>
  <c r="C494" i="8"/>
  <c r="B494" i="8"/>
  <c r="A494" i="8"/>
  <c r="F493" i="8"/>
  <c r="E493" i="8"/>
  <c r="D493" i="8"/>
  <c r="C493" i="8"/>
  <c r="B493" i="8"/>
  <c r="A493" i="8"/>
  <c r="F492" i="8"/>
  <c r="E492" i="8"/>
  <c r="D492" i="8"/>
  <c r="C492" i="8"/>
  <c r="B492" i="8"/>
  <c r="A492" i="8"/>
  <c r="F491" i="8"/>
  <c r="E491" i="8"/>
  <c r="D491" i="8"/>
  <c r="C491" i="8"/>
  <c r="B491" i="8"/>
  <c r="A491" i="8"/>
  <c r="F490" i="8"/>
  <c r="E490" i="8"/>
  <c r="D490" i="8"/>
  <c r="C490" i="8"/>
  <c r="B490" i="8"/>
  <c r="A490" i="8"/>
  <c r="F489" i="8"/>
  <c r="E489" i="8"/>
  <c r="D489" i="8"/>
  <c r="C489" i="8"/>
  <c r="B489" i="8"/>
  <c r="A489" i="8"/>
  <c r="F488" i="8"/>
  <c r="E488" i="8"/>
  <c r="D488" i="8"/>
  <c r="A488" i="8"/>
  <c r="F487" i="8"/>
  <c r="E487" i="8"/>
  <c r="D487" i="8"/>
  <c r="C487" i="8"/>
  <c r="B487" i="8"/>
  <c r="A487" i="8"/>
  <c r="F486" i="8"/>
  <c r="E486" i="8"/>
  <c r="C486" i="8"/>
  <c r="B486" i="8"/>
  <c r="A486" i="8"/>
  <c r="F485" i="8"/>
  <c r="E485" i="8"/>
  <c r="D485" i="8"/>
  <c r="C485" i="8"/>
  <c r="B485" i="8"/>
  <c r="A485" i="8"/>
  <c r="F484" i="8"/>
  <c r="E484" i="8"/>
  <c r="D484" i="8"/>
  <c r="C484" i="8"/>
  <c r="B484" i="8"/>
  <c r="A484" i="8"/>
  <c r="F483" i="8"/>
  <c r="E483" i="8"/>
  <c r="D483" i="8"/>
  <c r="C483" i="8"/>
  <c r="B483" i="8"/>
  <c r="A483" i="8"/>
  <c r="F482" i="8"/>
  <c r="E482" i="8"/>
  <c r="D482" i="8"/>
  <c r="C482" i="8"/>
  <c r="B482" i="8"/>
  <c r="A482" i="8"/>
  <c r="F481" i="8"/>
  <c r="E481" i="8"/>
  <c r="D481" i="8"/>
  <c r="C481" i="8"/>
  <c r="B481" i="8"/>
  <c r="A481" i="8"/>
  <c r="F480" i="8"/>
  <c r="E480" i="8"/>
  <c r="D480" i="8"/>
  <c r="C480" i="8"/>
  <c r="B480" i="8"/>
  <c r="A480" i="8"/>
  <c r="F479" i="8"/>
  <c r="E479" i="8"/>
  <c r="D479" i="8"/>
  <c r="C479" i="8"/>
  <c r="B479" i="8"/>
  <c r="A479" i="8"/>
  <c r="F478" i="8"/>
  <c r="E478" i="8"/>
  <c r="D478" i="8"/>
  <c r="C478" i="8"/>
  <c r="B478" i="8"/>
  <c r="A478" i="8"/>
  <c r="F477" i="8"/>
  <c r="E477" i="8"/>
  <c r="D477" i="8"/>
  <c r="C477" i="8"/>
  <c r="B477" i="8"/>
  <c r="A477" i="8"/>
  <c r="F476" i="8"/>
  <c r="E476" i="8"/>
  <c r="D476" i="8"/>
  <c r="C476" i="8"/>
  <c r="B476" i="8"/>
  <c r="A476" i="8"/>
  <c r="F475" i="8"/>
  <c r="E475" i="8"/>
  <c r="D475" i="8"/>
  <c r="C475" i="8"/>
  <c r="A475" i="8"/>
  <c r="F474" i="8"/>
  <c r="E474" i="8"/>
  <c r="D474" i="8"/>
  <c r="C474" i="8"/>
  <c r="B474" i="8"/>
  <c r="A474" i="8"/>
  <c r="F473" i="8"/>
  <c r="E473" i="8"/>
  <c r="D473" i="8"/>
  <c r="C473" i="8"/>
  <c r="B473" i="8"/>
  <c r="A473" i="8"/>
  <c r="F472" i="8"/>
  <c r="E472" i="8"/>
  <c r="D472" i="8"/>
  <c r="C472" i="8"/>
  <c r="B472" i="8"/>
  <c r="A472" i="8"/>
  <c r="F471" i="8"/>
  <c r="E471" i="8"/>
  <c r="D471" i="8"/>
  <c r="C471" i="8"/>
  <c r="B471" i="8"/>
  <c r="A471" i="8"/>
  <c r="F470" i="8"/>
  <c r="G470" i="8" s="1"/>
  <c r="E470" i="8"/>
  <c r="D470" i="8"/>
  <c r="C470" i="8"/>
  <c r="B470" i="8"/>
  <c r="A470" i="8"/>
  <c r="F469" i="8"/>
  <c r="E469" i="8"/>
  <c r="D469" i="8"/>
  <c r="C469" i="8"/>
  <c r="B469" i="8"/>
  <c r="A469" i="8"/>
  <c r="F468" i="8"/>
  <c r="E468" i="8"/>
  <c r="D468" i="8"/>
  <c r="C468" i="8"/>
  <c r="B468" i="8"/>
  <c r="A468" i="8"/>
  <c r="F467" i="8"/>
  <c r="E467" i="8"/>
  <c r="D467" i="8"/>
  <c r="C467" i="8"/>
  <c r="B467" i="8"/>
  <c r="A467" i="8"/>
  <c r="F466" i="8"/>
  <c r="E466" i="8"/>
  <c r="D466" i="8"/>
  <c r="C466" i="8"/>
  <c r="B466" i="8"/>
  <c r="A466" i="8"/>
  <c r="F465" i="8"/>
  <c r="E465" i="8"/>
  <c r="D465" i="8"/>
  <c r="C465" i="8"/>
  <c r="B465" i="8"/>
  <c r="A465" i="8"/>
  <c r="F464" i="8"/>
  <c r="E464" i="8"/>
  <c r="D464" i="8"/>
  <c r="C464" i="8"/>
  <c r="B464" i="8"/>
  <c r="A464" i="8"/>
  <c r="F463" i="8"/>
  <c r="E463" i="8"/>
  <c r="D463" i="8"/>
  <c r="C463" i="8"/>
  <c r="B463" i="8"/>
  <c r="A463" i="8"/>
  <c r="F462" i="8"/>
  <c r="G462" i="8" s="1"/>
  <c r="E462" i="8"/>
  <c r="D462" i="8"/>
  <c r="C462" i="8"/>
  <c r="B462" i="8"/>
  <c r="A462" i="8"/>
  <c r="F461" i="8"/>
  <c r="E461" i="8"/>
  <c r="D461" i="8"/>
  <c r="C461" i="8"/>
  <c r="B461" i="8"/>
  <c r="A461" i="8"/>
  <c r="F460" i="8"/>
  <c r="G460" i="8" s="1"/>
  <c r="E460" i="8"/>
  <c r="D460" i="8"/>
  <c r="C460" i="8"/>
  <c r="B460" i="8"/>
  <c r="A460" i="8"/>
  <c r="F459" i="8"/>
  <c r="E459" i="8"/>
  <c r="D459" i="8"/>
  <c r="C459" i="8"/>
  <c r="B459" i="8"/>
  <c r="A459" i="8"/>
  <c r="F458" i="8"/>
  <c r="E458" i="8"/>
  <c r="D458" i="8"/>
  <c r="C458" i="8"/>
  <c r="B458" i="8"/>
  <c r="A458" i="8"/>
  <c r="F457" i="8"/>
  <c r="E457" i="8"/>
  <c r="D457" i="8"/>
  <c r="C457" i="8"/>
  <c r="B457" i="8"/>
  <c r="A457" i="8"/>
  <c r="F456" i="8"/>
  <c r="E456" i="8"/>
  <c r="D456" i="8"/>
  <c r="C456" i="8"/>
  <c r="B456" i="8"/>
  <c r="A456" i="8"/>
  <c r="F455" i="8"/>
  <c r="E455" i="8"/>
  <c r="D455" i="8"/>
  <c r="C455" i="8"/>
  <c r="B455" i="8"/>
  <c r="A455" i="8"/>
  <c r="F454" i="8"/>
  <c r="E454" i="8"/>
  <c r="D454" i="8"/>
  <c r="C454" i="8"/>
  <c r="B454" i="8"/>
  <c r="A454" i="8"/>
  <c r="F453" i="8"/>
  <c r="E453" i="8"/>
  <c r="D453" i="8"/>
  <c r="C453" i="8"/>
  <c r="B453" i="8"/>
  <c r="A453" i="8"/>
  <c r="F452" i="8"/>
  <c r="E452" i="8"/>
  <c r="D452" i="8"/>
  <c r="C452" i="8"/>
  <c r="B452" i="8"/>
  <c r="A452" i="8"/>
  <c r="F451" i="8"/>
  <c r="E451" i="8"/>
  <c r="D451" i="8"/>
  <c r="C451" i="8"/>
  <c r="B451" i="8"/>
  <c r="A451" i="8"/>
  <c r="F450" i="8"/>
  <c r="G450" i="8" s="1"/>
  <c r="E450" i="8"/>
  <c r="D450" i="8"/>
  <c r="C450" i="8"/>
  <c r="B450" i="8"/>
  <c r="A450" i="8"/>
  <c r="F449" i="8"/>
  <c r="E449" i="8"/>
  <c r="D449" i="8"/>
  <c r="C449" i="8"/>
  <c r="B449" i="8"/>
  <c r="A449" i="8"/>
  <c r="F448" i="8"/>
  <c r="G448" i="8" s="1"/>
  <c r="E448" i="8"/>
  <c r="D448" i="8"/>
  <c r="C448" i="8"/>
  <c r="B448" i="8"/>
  <c r="A448" i="8"/>
  <c r="F447" i="8"/>
  <c r="E447" i="8"/>
  <c r="D447" i="8"/>
  <c r="C447" i="8"/>
  <c r="B447" i="8"/>
  <c r="A447" i="8"/>
  <c r="G446" i="8"/>
  <c r="F446" i="8"/>
  <c r="E446" i="8"/>
  <c r="D446" i="8"/>
  <c r="C446" i="8"/>
  <c r="B446" i="8"/>
  <c r="A446" i="8"/>
  <c r="F445" i="8"/>
  <c r="E445" i="8"/>
  <c r="D445" i="8"/>
  <c r="C445" i="8"/>
  <c r="B445" i="8"/>
  <c r="A445" i="8"/>
  <c r="F444" i="8"/>
  <c r="E444" i="8"/>
  <c r="D444" i="8"/>
  <c r="C444" i="8"/>
  <c r="B444" i="8"/>
  <c r="A444" i="8"/>
  <c r="F443" i="8"/>
  <c r="E443" i="8"/>
  <c r="D443" i="8"/>
  <c r="C443" i="8"/>
  <c r="B443" i="8"/>
  <c r="A443" i="8"/>
  <c r="G443" i="8" s="1"/>
  <c r="F442" i="8"/>
  <c r="E442" i="8"/>
  <c r="D442" i="8"/>
  <c r="C442" i="8"/>
  <c r="B442" i="8"/>
  <c r="A442" i="8"/>
  <c r="F441" i="8"/>
  <c r="E441" i="8"/>
  <c r="D441" i="8"/>
  <c r="C441" i="8"/>
  <c r="B441" i="8"/>
  <c r="A441" i="8"/>
  <c r="F440" i="8"/>
  <c r="E440" i="8"/>
  <c r="D440" i="8"/>
  <c r="C440" i="8"/>
  <c r="B440" i="8"/>
  <c r="A440" i="8"/>
  <c r="F439" i="8"/>
  <c r="E439" i="8"/>
  <c r="D439" i="8"/>
  <c r="C439" i="8"/>
  <c r="B439" i="8"/>
  <c r="A439" i="8"/>
  <c r="F438" i="8"/>
  <c r="G438" i="8" s="1"/>
  <c r="E438" i="8"/>
  <c r="D438" i="8"/>
  <c r="C438" i="8"/>
  <c r="B438" i="8"/>
  <c r="A438" i="8"/>
  <c r="F437" i="8"/>
  <c r="E437" i="8"/>
  <c r="D437" i="8"/>
  <c r="C437" i="8"/>
  <c r="B437" i="8"/>
  <c r="A437" i="8"/>
  <c r="F436" i="8"/>
  <c r="E436" i="8"/>
  <c r="D436" i="8"/>
  <c r="C436" i="8"/>
  <c r="B436" i="8"/>
  <c r="A436" i="8"/>
  <c r="F435" i="8"/>
  <c r="E435" i="8"/>
  <c r="D435" i="8"/>
  <c r="C435" i="8"/>
  <c r="B435" i="8"/>
  <c r="A435" i="8"/>
  <c r="F434" i="8"/>
  <c r="E434" i="8"/>
  <c r="D434" i="8"/>
  <c r="C434" i="8"/>
  <c r="B434" i="8"/>
  <c r="A434" i="8"/>
  <c r="F433" i="8"/>
  <c r="E433" i="8"/>
  <c r="D433" i="8"/>
  <c r="C433" i="8"/>
  <c r="B433" i="8"/>
  <c r="A433" i="8"/>
  <c r="F432" i="8"/>
  <c r="E432" i="8"/>
  <c r="D432" i="8"/>
  <c r="C432" i="8"/>
  <c r="B432" i="8"/>
  <c r="A432" i="8"/>
  <c r="F431" i="8"/>
  <c r="G431" i="8" s="1"/>
  <c r="E431" i="8"/>
  <c r="D431" i="8"/>
  <c r="C431" i="8"/>
  <c r="A431" i="8"/>
  <c r="F430" i="8"/>
  <c r="E430" i="8"/>
  <c r="D430" i="8"/>
  <c r="C430" i="8"/>
  <c r="B430" i="8"/>
  <c r="A430" i="8"/>
  <c r="F429" i="8"/>
  <c r="E429" i="8"/>
  <c r="D429" i="8"/>
  <c r="C429" i="8"/>
  <c r="B429" i="8"/>
  <c r="A429" i="8"/>
  <c r="F428" i="8"/>
  <c r="E428" i="8"/>
  <c r="D428" i="8"/>
  <c r="C428" i="8"/>
  <c r="B428" i="8"/>
  <c r="A428" i="8"/>
  <c r="F427" i="8"/>
  <c r="E427" i="8"/>
  <c r="D427" i="8"/>
  <c r="C427" i="8"/>
  <c r="B427" i="8"/>
  <c r="A427" i="8"/>
  <c r="F426" i="8"/>
  <c r="E426" i="8"/>
  <c r="D426" i="8"/>
  <c r="C426" i="8"/>
  <c r="B426" i="8"/>
  <c r="A426" i="8"/>
  <c r="F425" i="8"/>
  <c r="E425" i="8"/>
  <c r="D425" i="8"/>
  <c r="C425" i="8"/>
  <c r="B425" i="8"/>
  <c r="A425" i="8"/>
  <c r="F424" i="8"/>
  <c r="E424" i="8"/>
  <c r="D424" i="8"/>
  <c r="C424" i="8"/>
  <c r="B424" i="8"/>
  <c r="A424" i="8"/>
  <c r="F423" i="8"/>
  <c r="E423" i="8"/>
  <c r="D423" i="8"/>
  <c r="C423" i="8"/>
  <c r="B423" i="8"/>
  <c r="A423" i="8"/>
  <c r="F422" i="8"/>
  <c r="E422" i="8"/>
  <c r="D422" i="8"/>
  <c r="C422" i="8"/>
  <c r="B422" i="8"/>
  <c r="A422" i="8"/>
  <c r="F421" i="8"/>
  <c r="E421" i="8"/>
  <c r="D421" i="8"/>
  <c r="C421" i="8"/>
  <c r="B421" i="8"/>
  <c r="A421" i="8"/>
  <c r="F420" i="8"/>
  <c r="E420" i="8"/>
  <c r="D420" i="8"/>
  <c r="C420" i="8"/>
  <c r="B420" i="8"/>
  <c r="A420" i="8"/>
  <c r="F419" i="8"/>
  <c r="E419" i="8"/>
  <c r="D419" i="8"/>
  <c r="C419" i="8"/>
  <c r="B419" i="8"/>
  <c r="A419" i="8"/>
  <c r="F418" i="8"/>
  <c r="E418" i="8"/>
  <c r="D418" i="8"/>
  <c r="C418" i="8"/>
  <c r="B418" i="8"/>
  <c r="A418" i="8"/>
  <c r="F417" i="8"/>
  <c r="E417" i="8"/>
  <c r="D417" i="8"/>
  <c r="C417" i="8"/>
  <c r="B417" i="8"/>
  <c r="A417" i="8"/>
  <c r="F416" i="8"/>
  <c r="E416" i="8"/>
  <c r="D416" i="8"/>
  <c r="C416" i="8"/>
  <c r="B416" i="8"/>
  <c r="A416" i="8"/>
  <c r="F415" i="8"/>
  <c r="E415" i="8"/>
  <c r="D415" i="8"/>
  <c r="C415" i="8"/>
  <c r="B415" i="8"/>
  <c r="A415" i="8"/>
  <c r="F414" i="8"/>
  <c r="E414" i="8"/>
  <c r="D414" i="8"/>
  <c r="C414" i="8"/>
  <c r="B414" i="8"/>
  <c r="A414" i="8"/>
  <c r="F413" i="8"/>
  <c r="E413" i="8"/>
  <c r="D413" i="8"/>
  <c r="C413" i="8"/>
  <c r="B413" i="8"/>
  <c r="A413" i="8"/>
  <c r="F412" i="8"/>
  <c r="E412" i="8"/>
  <c r="D412" i="8"/>
  <c r="C412" i="8"/>
  <c r="B412" i="8"/>
  <c r="A412" i="8"/>
  <c r="F411" i="8"/>
  <c r="E411" i="8"/>
  <c r="D411" i="8"/>
  <c r="C411" i="8"/>
  <c r="B411" i="8"/>
  <c r="A411" i="8"/>
  <c r="F410" i="8"/>
  <c r="E410" i="8"/>
  <c r="D410" i="8"/>
  <c r="C410" i="8"/>
  <c r="B410" i="8"/>
  <c r="A410" i="8"/>
  <c r="F409" i="8"/>
  <c r="E409" i="8"/>
  <c r="D409" i="8"/>
  <c r="C409" i="8"/>
  <c r="B409" i="8"/>
  <c r="A409" i="8"/>
  <c r="F408" i="8"/>
  <c r="E408" i="8"/>
  <c r="D408" i="8"/>
  <c r="C408" i="8"/>
  <c r="B408" i="8"/>
  <c r="A408" i="8"/>
  <c r="F407" i="8"/>
  <c r="E407" i="8"/>
  <c r="D407" i="8"/>
  <c r="C407" i="8"/>
  <c r="B407" i="8"/>
  <c r="A407" i="8"/>
  <c r="F406" i="8"/>
  <c r="E406" i="8"/>
  <c r="D406" i="8"/>
  <c r="C406" i="8"/>
  <c r="B406" i="8"/>
  <c r="A406" i="8"/>
  <c r="F405" i="8"/>
  <c r="E405" i="8"/>
  <c r="D405" i="8"/>
  <c r="C405" i="8"/>
  <c r="B405" i="8"/>
  <c r="A405" i="8"/>
  <c r="F404" i="8"/>
  <c r="E404" i="8"/>
  <c r="D404" i="8"/>
  <c r="C404" i="8"/>
  <c r="B404" i="8"/>
  <c r="A404" i="8"/>
  <c r="F403" i="8"/>
  <c r="E403" i="8"/>
  <c r="D403" i="8"/>
  <c r="C403" i="8"/>
  <c r="B403" i="8"/>
  <c r="A403" i="8"/>
  <c r="F402" i="8"/>
  <c r="G402" i="8" s="1"/>
  <c r="E402" i="8"/>
  <c r="D402" i="8"/>
  <c r="C402" i="8"/>
  <c r="B402" i="8"/>
  <c r="A402" i="8"/>
  <c r="F401" i="8"/>
  <c r="E401" i="8"/>
  <c r="D401" i="8"/>
  <c r="C401" i="8"/>
  <c r="B401" i="8"/>
  <c r="A401" i="8"/>
  <c r="F400" i="8"/>
  <c r="E400" i="8"/>
  <c r="D400" i="8"/>
  <c r="C400" i="8"/>
  <c r="B400" i="8"/>
  <c r="A400" i="8"/>
  <c r="F399" i="8"/>
  <c r="E399" i="8"/>
  <c r="D399" i="8"/>
  <c r="C399" i="8"/>
  <c r="B399" i="8"/>
  <c r="A399" i="8"/>
  <c r="F398" i="8"/>
  <c r="E398" i="8"/>
  <c r="D398" i="8"/>
  <c r="C398" i="8"/>
  <c r="B398" i="8"/>
  <c r="A398" i="8"/>
  <c r="F397" i="8"/>
  <c r="E397" i="8"/>
  <c r="D397" i="8"/>
  <c r="C397" i="8"/>
  <c r="B397" i="8"/>
  <c r="A397" i="8"/>
  <c r="F396" i="8"/>
  <c r="E396" i="8"/>
  <c r="D396" i="8"/>
  <c r="C396" i="8"/>
  <c r="B396" i="8"/>
  <c r="A396" i="8"/>
  <c r="F395" i="8"/>
  <c r="E395" i="8"/>
  <c r="D395" i="8"/>
  <c r="C395" i="8"/>
  <c r="B395" i="8"/>
  <c r="A395" i="8"/>
  <c r="F394" i="8"/>
  <c r="E394" i="8"/>
  <c r="D394" i="8"/>
  <c r="C394" i="8"/>
  <c r="B394" i="8"/>
  <c r="A394" i="8"/>
  <c r="F393" i="8"/>
  <c r="E393" i="8"/>
  <c r="D393" i="8"/>
  <c r="C393" i="8"/>
  <c r="B393" i="8"/>
  <c r="A393" i="8"/>
  <c r="F392" i="8"/>
  <c r="E392" i="8"/>
  <c r="A392" i="8"/>
  <c r="F391" i="8"/>
  <c r="E391" i="8"/>
  <c r="D391" i="8"/>
  <c r="C391" i="8"/>
  <c r="B391" i="8"/>
  <c r="A391" i="8"/>
  <c r="F390" i="8"/>
  <c r="E390" i="8"/>
  <c r="D390" i="8"/>
  <c r="C390" i="8"/>
  <c r="B390" i="8"/>
  <c r="A390" i="8"/>
  <c r="F389" i="8"/>
  <c r="E389" i="8"/>
  <c r="D389" i="8"/>
  <c r="C389" i="8"/>
  <c r="B389" i="8"/>
  <c r="A389" i="8"/>
  <c r="F388" i="8"/>
  <c r="E388" i="8"/>
  <c r="D388" i="8"/>
  <c r="C388" i="8"/>
  <c r="B388" i="8"/>
  <c r="A388" i="8"/>
  <c r="F387" i="8"/>
  <c r="E387" i="8"/>
  <c r="D387" i="8"/>
  <c r="C387" i="8"/>
  <c r="B387" i="8"/>
  <c r="A387" i="8"/>
  <c r="F386" i="8"/>
  <c r="E386" i="8"/>
  <c r="D386" i="8"/>
  <c r="C386" i="8"/>
  <c r="B386" i="8"/>
  <c r="A386" i="8"/>
  <c r="F385" i="8"/>
  <c r="E385" i="8"/>
  <c r="D385" i="8"/>
  <c r="C385" i="8"/>
  <c r="B385" i="8"/>
  <c r="A385" i="8"/>
  <c r="F384" i="8"/>
  <c r="E384" i="8"/>
  <c r="D384" i="8"/>
  <c r="C384" i="8"/>
  <c r="B384" i="8"/>
  <c r="A384" i="8"/>
  <c r="F383" i="8"/>
  <c r="E383" i="8"/>
  <c r="D383" i="8"/>
  <c r="C383" i="8"/>
  <c r="B383" i="8"/>
  <c r="A383" i="8"/>
  <c r="F382" i="8"/>
  <c r="E382" i="8"/>
  <c r="D382" i="8"/>
  <c r="C382" i="8"/>
  <c r="B382" i="8"/>
  <c r="A382" i="8"/>
  <c r="F381" i="8"/>
  <c r="E381" i="8"/>
  <c r="D381" i="8"/>
  <c r="C381" i="8"/>
  <c r="B381" i="8"/>
  <c r="A381" i="8"/>
  <c r="F380" i="8"/>
  <c r="E380" i="8"/>
  <c r="D380" i="8"/>
  <c r="C380" i="8"/>
  <c r="B380" i="8"/>
  <c r="A380" i="8"/>
  <c r="F379" i="8"/>
  <c r="E379" i="8"/>
  <c r="D379" i="8"/>
  <c r="C379" i="8"/>
  <c r="B379" i="8"/>
  <c r="A379" i="8"/>
  <c r="F378" i="8"/>
  <c r="E378" i="8"/>
  <c r="D378" i="8"/>
  <c r="C378" i="8"/>
  <c r="B378" i="8"/>
  <c r="A378" i="8"/>
  <c r="F377" i="8"/>
  <c r="E377" i="8"/>
  <c r="D377" i="8"/>
  <c r="C377" i="8"/>
  <c r="B377" i="8"/>
  <c r="A377" i="8"/>
  <c r="F376" i="8"/>
  <c r="E376" i="8"/>
  <c r="D376" i="8"/>
  <c r="C376" i="8"/>
  <c r="B376" i="8"/>
  <c r="A376" i="8"/>
  <c r="F375" i="8"/>
  <c r="E375" i="8"/>
  <c r="D375" i="8"/>
  <c r="C375" i="8"/>
  <c r="B375" i="8"/>
  <c r="A375" i="8"/>
  <c r="F374" i="8"/>
  <c r="E374" i="8"/>
  <c r="D374" i="8"/>
  <c r="C374" i="8"/>
  <c r="B374" i="8"/>
  <c r="A374" i="8"/>
  <c r="F373" i="8"/>
  <c r="E373" i="8"/>
  <c r="D373" i="8"/>
  <c r="C373" i="8"/>
  <c r="B373" i="8"/>
  <c r="A373" i="8"/>
  <c r="F372" i="8"/>
  <c r="E372" i="8"/>
  <c r="D372" i="8"/>
  <c r="C372" i="8"/>
  <c r="B372" i="8"/>
  <c r="A372" i="8"/>
  <c r="F371" i="8"/>
  <c r="E371" i="8"/>
  <c r="D371" i="8"/>
  <c r="C371" i="8"/>
  <c r="B371" i="8"/>
  <c r="A371" i="8"/>
  <c r="F370" i="8"/>
  <c r="E370" i="8"/>
  <c r="D370" i="8"/>
  <c r="C370" i="8"/>
  <c r="B370" i="8"/>
  <c r="A370" i="8"/>
  <c r="F369" i="8"/>
  <c r="E369" i="8"/>
  <c r="D369" i="8"/>
  <c r="C369" i="8"/>
  <c r="B369" i="8"/>
  <c r="A369" i="8"/>
  <c r="F368" i="8"/>
  <c r="E368" i="8"/>
  <c r="D368" i="8"/>
  <c r="C368" i="8"/>
  <c r="B368" i="8"/>
  <c r="A368" i="8"/>
  <c r="F367" i="8"/>
  <c r="E367" i="8"/>
  <c r="D367" i="8"/>
  <c r="C367" i="8"/>
  <c r="B367" i="8"/>
  <c r="A367" i="8"/>
  <c r="F366" i="8"/>
  <c r="E366" i="8"/>
  <c r="D366" i="8"/>
  <c r="C366" i="8"/>
  <c r="B366" i="8"/>
  <c r="A366" i="8"/>
  <c r="F365" i="8"/>
  <c r="E365" i="8"/>
  <c r="D365" i="8"/>
  <c r="C365" i="8"/>
  <c r="B365" i="8"/>
  <c r="A365" i="8"/>
  <c r="F364" i="8"/>
  <c r="E364" i="8"/>
  <c r="D364" i="8"/>
  <c r="C364" i="8"/>
  <c r="B364" i="8"/>
  <c r="A364" i="8"/>
  <c r="F363" i="8"/>
  <c r="E363" i="8"/>
  <c r="D363" i="8"/>
  <c r="C363" i="8"/>
  <c r="B363" i="8"/>
  <c r="A363" i="8"/>
  <c r="F362" i="8"/>
  <c r="E362" i="8"/>
  <c r="D362" i="8"/>
  <c r="C362" i="8"/>
  <c r="B362" i="8"/>
  <c r="A362" i="8"/>
  <c r="F361" i="8"/>
  <c r="E361" i="8"/>
  <c r="D361" i="8"/>
  <c r="C361" i="8"/>
  <c r="B361" i="8"/>
  <c r="A361" i="8"/>
  <c r="F360" i="8"/>
  <c r="E360" i="8"/>
  <c r="D360" i="8"/>
  <c r="C360" i="8"/>
  <c r="B360" i="8"/>
  <c r="A360" i="8"/>
  <c r="F359" i="8"/>
  <c r="E359" i="8"/>
  <c r="D359" i="8"/>
  <c r="C359" i="8"/>
  <c r="B359" i="8"/>
  <c r="A359" i="8"/>
  <c r="F358" i="8"/>
  <c r="E358" i="8"/>
  <c r="D358" i="8"/>
  <c r="C358" i="8"/>
  <c r="B358" i="8"/>
  <c r="A358" i="8"/>
  <c r="F357" i="8"/>
  <c r="E357" i="8"/>
  <c r="D357" i="8"/>
  <c r="C357" i="8"/>
  <c r="B357" i="8"/>
  <c r="A357" i="8"/>
  <c r="F356" i="8"/>
  <c r="E356" i="8"/>
  <c r="D356" i="8"/>
  <c r="C356" i="8"/>
  <c r="B356" i="8"/>
  <c r="A356" i="8"/>
  <c r="F355" i="8"/>
  <c r="E355" i="8"/>
  <c r="D355" i="8"/>
  <c r="C355" i="8"/>
  <c r="B355" i="8"/>
  <c r="A355" i="8"/>
  <c r="F354" i="8"/>
  <c r="E354" i="8"/>
  <c r="D354" i="8"/>
  <c r="C354" i="8"/>
  <c r="B354" i="8"/>
  <c r="A354" i="8"/>
  <c r="F353" i="8"/>
  <c r="E353" i="8"/>
  <c r="D353" i="8"/>
  <c r="C353" i="8"/>
  <c r="B353" i="8"/>
  <c r="A353" i="8"/>
  <c r="F352" i="8"/>
  <c r="E352" i="8"/>
  <c r="D352" i="8"/>
  <c r="C352" i="8"/>
  <c r="B352" i="8"/>
  <c r="A352" i="8"/>
  <c r="F351" i="8"/>
  <c r="E351" i="8"/>
  <c r="D351" i="8"/>
  <c r="C351" i="8"/>
  <c r="B351" i="8"/>
  <c r="A351" i="8"/>
  <c r="F350" i="8"/>
  <c r="E350" i="8"/>
  <c r="D350" i="8"/>
  <c r="C350" i="8"/>
  <c r="B350" i="8"/>
  <c r="A350" i="8"/>
  <c r="F349" i="8"/>
  <c r="E349" i="8"/>
  <c r="D349" i="8"/>
  <c r="C349" i="8"/>
  <c r="B349" i="8"/>
  <c r="A349" i="8"/>
  <c r="F348" i="8"/>
  <c r="E348" i="8"/>
  <c r="D348" i="8"/>
  <c r="C348" i="8"/>
  <c r="B348" i="8"/>
  <c r="A348" i="8"/>
  <c r="F347" i="8"/>
  <c r="E347" i="8"/>
  <c r="D347" i="8"/>
  <c r="C347" i="8"/>
  <c r="B347" i="8"/>
  <c r="A347" i="8"/>
  <c r="F346" i="8"/>
  <c r="E346" i="8"/>
  <c r="D346" i="8"/>
  <c r="C346" i="8"/>
  <c r="B346" i="8"/>
  <c r="A346" i="8"/>
  <c r="F345" i="8"/>
  <c r="E345" i="8"/>
  <c r="D345" i="8"/>
  <c r="C345" i="8"/>
  <c r="B345" i="8"/>
  <c r="A345" i="8"/>
  <c r="F344" i="8"/>
  <c r="E344" i="8"/>
  <c r="D344" i="8"/>
  <c r="C344" i="8"/>
  <c r="B344" i="8"/>
  <c r="A344" i="8"/>
  <c r="F343" i="8"/>
  <c r="E343" i="8"/>
  <c r="D343" i="8"/>
  <c r="C343" i="8"/>
  <c r="B343" i="8"/>
  <c r="A343" i="8"/>
  <c r="F342" i="8"/>
  <c r="E342" i="8"/>
  <c r="D342" i="8"/>
  <c r="C342" i="8"/>
  <c r="B342" i="8"/>
  <c r="A342" i="8"/>
  <c r="F341" i="8"/>
  <c r="E341" i="8"/>
  <c r="D341" i="8"/>
  <c r="C341" i="8"/>
  <c r="B341" i="8"/>
  <c r="A341" i="8"/>
  <c r="F340" i="8"/>
  <c r="E340" i="8"/>
  <c r="D340" i="8"/>
  <c r="C340" i="8"/>
  <c r="B340" i="8"/>
  <c r="A340" i="8"/>
  <c r="F339" i="8"/>
  <c r="E339" i="8"/>
  <c r="D339" i="8"/>
  <c r="C339" i="8"/>
  <c r="B339" i="8"/>
  <c r="A339" i="8"/>
  <c r="F338" i="8"/>
  <c r="E338" i="8"/>
  <c r="D338" i="8"/>
  <c r="C338" i="8"/>
  <c r="B338" i="8"/>
  <c r="A338" i="8"/>
  <c r="F337" i="8"/>
  <c r="E337" i="8"/>
  <c r="D337" i="8"/>
  <c r="C337" i="8"/>
  <c r="B337" i="8"/>
  <c r="A337" i="8"/>
  <c r="F336" i="8"/>
  <c r="E336" i="8"/>
  <c r="D336" i="8"/>
  <c r="C336" i="8"/>
  <c r="B336" i="8"/>
  <c r="A336" i="8"/>
  <c r="F335" i="8"/>
  <c r="E335" i="8"/>
  <c r="D335" i="8"/>
  <c r="C335" i="8"/>
  <c r="B335" i="8"/>
  <c r="A335" i="8"/>
  <c r="F334" i="8"/>
  <c r="E334" i="8"/>
  <c r="D334" i="8"/>
  <c r="C334" i="8"/>
  <c r="B334" i="8"/>
  <c r="A334" i="8"/>
  <c r="F333" i="8"/>
  <c r="E333" i="8"/>
  <c r="D333" i="8"/>
  <c r="C333" i="8"/>
  <c r="B333" i="8"/>
  <c r="A333" i="8"/>
  <c r="F332" i="8"/>
  <c r="E332" i="8"/>
  <c r="D332" i="8"/>
  <c r="C332" i="8"/>
  <c r="B332" i="8"/>
  <c r="A332" i="8"/>
  <c r="F331" i="8"/>
  <c r="E331" i="8"/>
  <c r="D331" i="8"/>
  <c r="C331" i="8"/>
  <c r="B331" i="8"/>
  <c r="A331" i="8"/>
  <c r="F330" i="8"/>
  <c r="E330" i="8"/>
  <c r="D330" i="8"/>
  <c r="C330" i="8"/>
  <c r="B330" i="8"/>
  <c r="A330" i="8"/>
  <c r="F329" i="8"/>
  <c r="E329" i="8"/>
  <c r="D329" i="8"/>
  <c r="C329" i="8"/>
  <c r="B329" i="8"/>
  <c r="A329" i="8"/>
  <c r="F328" i="8"/>
  <c r="E328" i="8"/>
  <c r="D328" i="8"/>
  <c r="C328" i="8"/>
  <c r="B328" i="8"/>
  <c r="A328" i="8"/>
  <c r="F327" i="8"/>
  <c r="E327" i="8"/>
  <c r="D327" i="8"/>
  <c r="C327" i="8"/>
  <c r="B327" i="8"/>
  <c r="A327" i="8"/>
  <c r="F326" i="8"/>
  <c r="E326" i="8"/>
  <c r="D326" i="8"/>
  <c r="C326" i="8"/>
  <c r="B326" i="8"/>
  <c r="A326" i="8"/>
  <c r="F325" i="8"/>
  <c r="E325" i="8"/>
  <c r="D325" i="8"/>
  <c r="C325" i="8"/>
  <c r="B325" i="8"/>
  <c r="A325" i="8"/>
  <c r="F324" i="8"/>
  <c r="E324" i="8"/>
  <c r="D324" i="8"/>
  <c r="C324" i="8"/>
  <c r="B324" i="8"/>
  <c r="A324" i="8"/>
  <c r="F323" i="8"/>
  <c r="E323" i="8"/>
  <c r="D323" i="8"/>
  <c r="C323" i="8"/>
  <c r="B323" i="8"/>
  <c r="A323" i="8"/>
  <c r="F322" i="8"/>
  <c r="E322" i="8"/>
  <c r="D322" i="8"/>
  <c r="C322" i="8"/>
  <c r="B322" i="8"/>
  <c r="A322" i="8"/>
  <c r="F321" i="8"/>
  <c r="E321" i="8"/>
  <c r="D321" i="8"/>
  <c r="C321" i="8"/>
  <c r="B321" i="8"/>
  <c r="A321" i="8"/>
  <c r="F320" i="8"/>
  <c r="E320" i="8"/>
  <c r="D320" i="8"/>
  <c r="C320" i="8"/>
  <c r="B320" i="8"/>
  <c r="A320" i="8"/>
  <c r="F319" i="8"/>
  <c r="E319" i="8"/>
  <c r="D319" i="8"/>
  <c r="C319" i="8"/>
  <c r="B319" i="8"/>
  <c r="A319" i="8"/>
  <c r="F318" i="8"/>
  <c r="E318" i="8"/>
  <c r="D318" i="8"/>
  <c r="C318" i="8"/>
  <c r="B318" i="8"/>
  <c r="A318" i="8"/>
  <c r="F317" i="8"/>
  <c r="E317" i="8"/>
  <c r="D317" i="8"/>
  <c r="C317" i="8"/>
  <c r="B317" i="8"/>
  <c r="A317" i="8"/>
  <c r="F316" i="8"/>
  <c r="E316" i="8"/>
  <c r="D316" i="8"/>
  <c r="C316" i="8"/>
  <c r="B316" i="8"/>
  <c r="A316" i="8"/>
  <c r="F315" i="8"/>
  <c r="E315" i="8"/>
  <c r="D315" i="8"/>
  <c r="C315" i="8"/>
  <c r="B315" i="8"/>
  <c r="A315" i="8"/>
  <c r="F314" i="8"/>
  <c r="E314" i="8"/>
  <c r="D314" i="8"/>
  <c r="C314" i="8"/>
  <c r="B314" i="8"/>
  <c r="A314" i="8"/>
  <c r="F313" i="8"/>
  <c r="E313" i="8"/>
  <c r="D313" i="8"/>
  <c r="C313" i="8"/>
  <c r="B313" i="8"/>
  <c r="A313" i="8"/>
  <c r="F312" i="8"/>
  <c r="E312" i="8"/>
  <c r="D312" i="8"/>
  <c r="C312" i="8"/>
  <c r="B312" i="8"/>
  <c r="A312" i="8"/>
  <c r="F311" i="8"/>
  <c r="E311" i="8"/>
  <c r="D311" i="8"/>
  <c r="C311" i="8"/>
  <c r="B311" i="8"/>
  <c r="A311" i="8"/>
  <c r="F310" i="8"/>
  <c r="E310" i="8"/>
  <c r="D310" i="8"/>
  <c r="C310" i="8"/>
  <c r="B310" i="8"/>
  <c r="A310" i="8"/>
  <c r="F309" i="8"/>
  <c r="E309" i="8"/>
  <c r="D309" i="8"/>
  <c r="C309" i="8"/>
  <c r="B309" i="8"/>
  <c r="A309" i="8"/>
  <c r="F308" i="8"/>
  <c r="E308" i="8"/>
  <c r="D308" i="8"/>
  <c r="C308" i="8"/>
  <c r="B308" i="8"/>
  <c r="A308" i="8"/>
  <c r="F307" i="8"/>
  <c r="E307" i="8"/>
  <c r="D307" i="8"/>
  <c r="C307" i="8"/>
  <c r="B307" i="8"/>
  <c r="A307" i="8"/>
  <c r="F306" i="8"/>
  <c r="E306" i="8"/>
  <c r="D306" i="8"/>
  <c r="C306" i="8"/>
  <c r="B306" i="8"/>
  <c r="A306" i="8"/>
  <c r="F305" i="8"/>
  <c r="E305" i="8"/>
  <c r="D305" i="8"/>
  <c r="C305" i="8"/>
  <c r="B305" i="8"/>
  <c r="A305" i="8"/>
  <c r="F304" i="8"/>
  <c r="E304" i="8"/>
  <c r="D304" i="8"/>
  <c r="C304" i="8"/>
  <c r="B304" i="8"/>
  <c r="A304" i="8"/>
  <c r="F303" i="8"/>
  <c r="E303" i="8"/>
  <c r="D303" i="8"/>
  <c r="C303" i="8"/>
  <c r="B303" i="8"/>
  <c r="A303" i="8"/>
  <c r="F302" i="8"/>
  <c r="E302" i="8"/>
  <c r="D302" i="8"/>
  <c r="C302" i="8"/>
  <c r="B302" i="8"/>
  <c r="A302" i="8"/>
  <c r="G302" i="8" s="1"/>
  <c r="F301" i="8"/>
  <c r="E301" i="8"/>
  <c r="D301" i="8"/>
  <c r="C301" i="8"/>
  <c r="B301" i="8"/>
  <c r="A301" i="8"/>
  <c r="F300" i="8"/>
  <c r="E300" i="8"/>
  <c r="D300" i="8"/>
  <c r="C300" i="8"/>
  <c r="B300" i="8"/>
  <c r="A300" i="8"/>
  <c r="F299" i="8"/>
  <c r="E299" i="8"/>
  <c r="D299" i="8"/>
  <c r="C299" i="8"/>
  <c r="B299" i="8"/>
  <c r="A299" i="8"/>
  <c r="F298" i="8"/>
  <c r="E298" i="8"/>
  <c r="D298" i="8"/>
  <c r="C298" i="8"/>
  <c r="B298" i="8"/>
  <c r="A298" i="8"/>
  <c r="F297" i="8"/>
  <c r="E297" i="8"/>
  <c r="D297" i="8"/>
  <c r="C297" i="8"/>
  <c r="B297" i="8"/>
  <c r="A297" i="8"/>
  <c r="F296" i="8"/>
  <c r="E296" i="8"/>
  <c r="D296" i="8"/>
  <c r="C296" i="8"/>
  <c r="B296" i="8"/>
  <c r="A296" i="8"/>
  <c r="F295" i="8"/>
  <c r="E295" i="8"/>
  <c r="D295" i="8"/>
  <c r="C295" i="8"/>
  <c r="B295" i="8"/>
  <c r="A295" i="8"/>
  <c r="F294" i="8"/>
  <c r="E294" i="8"/>
  <c r="D294" i="8"/>
  <c r="C294" i="8"/>
  <c r="B294" i="8"/>
  <c r="A294" i="8"/>
  <c r="F293" i="8"/>
  <c r="E293" i="8"/>
  <c r="D293" i="8"/>
  <c r="C293" i="8"/>
  <c r="B293" i="8"/>
  <c r="A293" i="8"/>
  <c r="F292" i="8"/>
  <c r="E292" i="8"/>
  <c r="D292" i="8"/>
  <c r="C292" i="8"/>
  <c r="B292" i="8"/>
  <c r="A292" i="8"/>
  <c r="F291" i="8"/>
  <c r="E291" i="8"/>
  <c r="D291" i="8"/>
  <c r="C291" i="8"/>
  <c r="B291" i="8"/>
  <c r="A291" i="8"/>
  <c r="F290" i="8"/>
  <c r="E290" i="8"/>
  <c r="D290" i="8"/>
  <c r="C290" i="8"/>
  <c r="B290" i="8"/>
  <c r="A290" i="8"/>
  <c r="F289" i="8"/>
  <c r="E289" i="8"/>
  <c r="D289" i="8"/>
  <c r="C289" i="8"/>
  <c r="B289" i="8"/>
  <c r="A289" i="8"/>
  <c r="F288" i="8"/>
  <c r="E288" i="8"/>
  <c r="D288" i="8"/>
  <c r="C288" i="8"/>
  <c r="B288" i="8"/>
  <c r="A288" i="8"/>
  <c r="F287" i="8"/>
  <c r="E287" i="8"/>
  <c r="D287" i="8"/>
  <c r="C287" i="8"/>
  <c r="B287" i="8"/>
  <c r="A287" i="8"/>
  <c r="F286" i="8"/>
  <c r="E286" i="8"/>
  <c r="D286" i="8"/>
  <c r="C286" i="8"/>
  <c r="B286" i="8"/>
  <c r="A286" i="8"/>
  <c r="G286" i="8" s="1"/>
  <c r="F285" i="8"/>
  <c r="E285" i="8"/>
  <c r="D285" i="8"/>
  <c r="C285" i="8"/>
  <c r="B285" i="8"/>
  <c r="A285" i="8"/>
  <c r="F284" i="8"/>
  <c r="E284" i="8"/>
  <c r="D284" i="8"/>
  <c r="C284" i="8"/>
  <c r="B284" i="8"/>
  <c r="A284" i="8"/>
  <c r="F283" i="8"/>
  <c r="E283" i="8"/>
  <c r="D283" i="8"/>
  <c r="C283" i="8"/>
  <c r="B283" i="8"/>
  <c r="A283" i="8"/>
  <c r="F282" i="8"/>
  <c r="E282" i="8"/>
  <c r="D282" i="8"/>
  <c r="C282" i="8"/>
  <c r="B282" i="8"/>
  <c r="A282" i="8"/>
  <c r="F281" i="8"/>
  <c r="E281" i="8"/>
  <c r="D281" i="8"/>
  <c r="C281" i="8"/>
  <c r="B281" i="8"/>
  <c r="A281" i="8"/>
  <c r="F280" i="8"/>
  <c r="E280" i="8"/>
  <c r="D280" i="8"/>
  <c r="C280" i="8"/>
  <c r="B280" i="8"/>
  <c r="A280" i="8"/>
  <c r="F279" i="8"/>
  <c r="E279" i="8"/>
  <c r="D279" i="8"/>
  <c r="C279" i="8"/>
  <c r="B279" i="8"/>
  <c r="A279" i="8"/>
  <c r="F278" i="8"/>
  <c r="E278" i="8"/>
  <c r="D278" i="8"/>
  <c r="C278" i="8"/>
  <c r="B278" i="8"/>
  <c r="A278" i="8"/>
  <c r="G278" i="8" s="1"/>
  <c r="F277" i="8"/>
  <c r="E277" i="8"/>
  <c r="D277" i="8"/>
  <c r="C277" i="8"/>
  <c r="B277" i="8"/>
  <c r="A277" i="8"/>
  <c r="F276" i="8"/>
  <c r="E276" i="8"/>
  <c r="D276" i="8"/>
  <c r="C276" i="8"/>
  <c r="B276" i="8"/>
  <c r="A276" i="8"/>
  <c r="F275" i="8"/>
  <c r="E275" i="8"/>
  <c r="D275" i="8"/>
  <c r="C275" i="8"/>
  <c r="B275" i="8"/>
  <c r="A275" i="8"/>
  <c r="F274" i="8"/>
  <c r="E274" i="8"/>
  <c r="D274" i="8"/>
  <c r="C274" i="8"/>
  <c r="B274" i="8"/>
  <c r="A274" i="8"/>
  <c r="F273" i="8"/>
  <c r="E273" i="8"/>
  <c r="D273" i="8"/>
  <c r="C273" i="8"/>
  <c r="B273" i="8"/>
  <c r="A273" i="8"/>
  <c r="F272" i="8"/>
  <c r="E272" i="8"/>
  <c r="D272" i="8"/>
  <c r="C272" i="8"/>
  <c r="B272" i="8"/>
  <c r="A272" i="8"/>
  <c r="F271" i="8"/>
  <c r="E271" i="8"/>
  <c r="D271" i="8"/>
  <c r="C271" i="8"/>
  <c r="B271" i="8"/>
  <c r="A271" i="8"/>
  <c r="F270" i="8"/>
  <c r="E270" i="8"/>
  <c r="D270" i="8"/>
  <c r="C270" i="8"/>
  <c r="B270" i="8"/>
  <c r="A270" i="8"/>
  <c r="F269" i="8"/>
  <c r="E269" i="8"/>
  <c r="D269" i="8"/>
  <c r="C269" i="8"/>
  <c r="B269" i="8"/>
  <c r="A269" i="8"/>
  <c r="F268" i="8"/>
  <c r="E268" i="8"/>
  <c r="D268" i="8"/>
  <c r="C268" i="8"/>
  <c r="B268" i="8"/>
  <c r="A268" i="8"/>
  <c r="F267" i="8"/>
  <c r="E267" i="8"/>
  <c r="D267" i="8"/>
  <c r="C267" i="8"/>
  <c r="B267" i="8"/>
  <c r="A267" i="8"/>
  <c r="F266" i="8"/>
  <c r="E266" i="8"/>
  <c r="D266" i="8"/>
  <c r="C266" i="8"/>
  <c r="B266" i="8"/>
  <c r="A266" i="8"/>
  <c r="F265" i="8"/>
  <c r="E265" i="8"/>
  <c r="D265" i="8"/>
  <c r="C265" i="8"/>
  <c r="B265" i="8"/>
  <c r="A265" i="8"/>
  <c r="F264" i="8"/>
  <c r="E264" i="8"/>
  <c r="D264" i="8"/>
  <c r="C264" i="8"/>
  <c r="B264" i="8"/>
  <c r="A264" i="8"/>
  <c r="F263" i="8"/>
  <c r="E263" i="8"/>
  <c r="D263" i="8"/>
  <c r="C263" i="8"/>
  <c r="B263" i="8"/>
  <c r="A263" i="8"/>
  <c r="F262" i="8"/>
  <c r="E262" i="8"/>
  <c r="D262" i="8"/>
  <c r="C262" i="8"/>
  <c r="B262" i="8"/>
  <c r="A262" i="8"/>
  <c r="G262" i="8" s="1"/>
  <c r="F261" i="8"/>
  <c r="E261" i="8"/>
  <c r="D261" i="8"/>
  <c r="C261" i="8"/>
  <c r="B261" i="8"/>
  <c r="A261" i="8"/>
  <c r="F260" i="8"/>
  <c r="E260" i="8"/>
  <c r="D260" i="8"/>
  <c r="C260" i="8"/>
  <c r="B260" i="8"/>
  <c r="A260" i="8"/>
  <c r="F259" i="8"/>
  <c r="E259" i="8"/>
  <c r="D259" i="8"/>
  <c r="C259" i="8"/>
  <c r="B259" i="8"/>
  <c r="A259" i="8"/>
  <c r="F258" i="8"/>
  <c r="E258" i="8"/>
  <c r="D258" i="8"/>
  <c r="C258" i="8"/>
  <c r="B258" i="8"/>
  <c r="A258" i="8"/>
  <c r="F257" i="8"/>
  <c r="E257" i="8"/>
  <c r="D257" i="8"/>
  <c r="C257" i="8"/>
  <c r="B257" i="8"/>
  <c r="A257" i="8"/>
  <c r="F256" i="8"/>
  <c r="E256" i="8"/>
  <c r="D256" i="8"/>
  <c r="C256" i="8"/>
  <c r="B256" i="8"/>
  <c r="A256" i="8"/>
  <c r="F255" i="8"/>
  <c r="E255" i="8"/>
  <c r="D255" i="8"/>
  <c r="C255" i="8"/>
  <c r="B255" i="8"/>
  <c r="A255" i="8"/>
  <c r="F254" i="8"/>
  <c r="E254" i="8"/>
  <c r="D254" i="8"/>
  <c r="C254" i="8"/>
  <c r="B254" i="8"/>
  <c r="A254" i="8"/>
  <c r="F253" i="8"/>
  <c r="E253" i="8"/>
  <c r="D253" i="8"/>
  <c r="C253" i="8"/>
  <c r="B253" i="8"/>
  <c r="A253" i="8"/>
  <c r="F252" i="8"/>
  <c r="E252" i="8"/>
  <c r="D252" i="8"/>
  <c r="C252" i="8"/>
  <c r="B252" i="8"/>
  <c r="A252" i="8"/>
  <c r="F251" i="8"/>
  <c r="E251" i="8"/>
  <c r="D251" i="8"/>
  <c r="C251" i="8"/>
  <c r="B251" i="8"/>
  <c r="A251" i="8"/>
  <c r="F250" i="8"/>
  <c r="E250" i="8"/>
  <c r="D250" i="8"/>
  <c r="C250" i="8"/>
  <c r="B250" i="8"/>
  <c r="A250" i="8"/>
  <c r="F249" i="8"/>
  <c r="E249" i="8"/>
  <c r="D249" i="8"/>
  <c r="C249" i="8"/>
  <c r="B249" i="8"/>
  <c r="A249" i="8"/>
  <c r="F248" i="8"/>
  <c r="E248" i="8"/>
  <c r="D248" i="8"/>
  <c r="C248" i="8"/>
  <c r="B248" i="8"/>
  <c r="A248" i="8"/>
  <c r="F247" i="8"/>
  <c r="E247" i="8"/>
  <c r="D247" i="8"/>
  <c r="C247" i="8"/>
  <c r="B247" i="8"/>
  <c r="A247" i="8"/>
  <c r="F246" i="8"/>
  <c r="E246" i="8"/>
  <c r="D246" i="8"/>
  <c r="C246" i="8"/>
  <c r="B246" i="8"/>
  <c r="A246" i="8"/>
  <c r="F245" i="8"/>
  <c r="E245" i="8"/>
  <c r="D245" i="8"/>
  <c r="C245" i="8"/>
  <c r="B245" i="8"/>
  <c r="A245" i="8"/>
  <c r="F244" i="8"/>
  <c r="E244" i="8"/>
  <c r="D244" i="8"/>
  <c r="C244" i="8"/>
  <c r="B244" i="8"/>
  <c r="A244" i="8"/>
  <c r="F243" i="8"/>
  <c r="E243" i="8"/>
  <c r="D243" i="8"/>
  <c r="C243" i="8"/>
  <c r="B243" i="8"/>
  <c r="A243" i="8"/>
  <c r="F242" i="8"/>
  <c r="E242" i="8"/>
  <c r="D242" i="8"/>
  <c r="C242" i="8"/>
  <c r="B242" i="8"/>
  <c r="A242" i="8"/>
  <c r="F241" i="8"/>
  <c r="E241" i="8"/>
  <c r="D241" i="8"/>
  <c r="C241" i="8"/>
  <c r="B241" i="8"/>
  <c r="A241" i="8"/>
  <c r="F240" i="8"/>
  <c r="E240" i="8"/>
  <c r="D240" i="8"/>
  <c r="C240" i="8"/>
  <c r="B240" i="8"/>
  <c r="A240" i="8"/>
  <c r="F239" i="8"/>
  <c r="E239" i="8"/>
  <c r="D239" i="8"/>
  <c r="C239" i="8"/>
  <c r="B239" i="8"/>
  <c r="A239" i="8"/>
  <c r="F238" i="8"/>
  <c r="E238" i="8"/>
  <c r="D238" i="8"/>
  <c r="C238" i="8"/>
  <c r="B238" i="8"/>
  <c r="A238" i="8"/>
  <c r="G238" i="8" s="1"/>
  <c r="F237" i="8"/>
  <c r="E237" i="8"/>
  <c r="D237" i="8"/>
  <c r="C237" i="8"/>
  <c r="B237" i="8"/>
  <c r="A237" i="8"/>
  <c r="F236" i="8"/>
  <c r="E236" i="8"/>
  <c r="D236" i="8"/>
  <c r="C236" i="8"/>
  <c r="B236" i="8"/>
  <c r="A236" i="8"/>
  <c r="F235" i="8"/>
  <c r="E235" i="8"/>
  <c r="D235" i="8"/>
  <c r="C235" i="8"/>
  <c r="B235" i="8"/>
  <c r="A235" i="8"/>
  <c r="F234" i="8"/>
  <c r="E234" i="8"/>
  <c r="D234" i="8"/>
  <c r="C234" i="8"/>
  <c r="B234" i="8"/>
  <c r="A234" i="8"/>
  <c r="F233" i="8"/>
  <c r="G233" i="8" s="1"/>
  <c r="E233" i="8"/>
  <c r="D233" i="8"/>
  <c r="C233" i="8"/>
  <c r="B233" i="8"/>
  <c r="A233" i="8"/>
  <c r="F232" i="8"/>
  <c r="E232" i="8"/>
  <c r="D232" i="8"/>
  <c r="C232" i="8"/>
  <c r="B232" i="8"/>
  <c r="A232" i="8"/>
  <c r="F231" i="8"/>
  <c r="E231" i="8"/>
  <c r="D231" i="8"/>
  <c r="C231" i="8"/>
  <c r="B231" i="8"/>
  <c r="A231" i="8"/>
  <c r="F230" i="8"/>
  <c r="E230" i="8"/>
  <c r="D230" i="8"/>
  <c r="C230" i="8"/>
  <c r="B230" i="8"/>
  <c r="A230" i="8"/>
  <c r="F229" i="8"/>
  <c r="G229" i="8" s="1"/>
  <c r="E229" i="8"/>
  <c r="D229" i="8"/>
  <c r="C229" i="8"/>
  <c r="B229" i="8"/>
  <c r="A229" i="8"/>
  <c r="F228" i="8"/>
  <c r="E228" i="8"/>
  <c r="D228" i="8"/>
  <c r="C228" i="8"/>
  <c r="B228" i="8"/>
  <c r="A228" i="8"/>
  <c r="F227" i="8"/>
  <c r="E227" i="8"/>
  <c r="D227" i="8"/>
  <c r="C227" i="8"/>
  <c r="B227" i="8"/>
  <c r="A227" i="8"/>
  <c r="F226" i="8"/>
  <c r="E226" i="8"/>
  <c r="D226" i="8"/>
  <c r="C226" i="8"/>
  <c r="B226" i="8"/>
  <c r="A226" i="8"/>
  <c r="F225" i="8"/>
  <c r="G225" i="8" s="1"/>
  <c r="E225" i="8"/>
  <c r="D225" i="8"/>
  <c r="C225" i="8"/>
  <c r="B225" i="8"/>
  <c r="A225" i="8"/>
  <c r="F224" i="8"/>
  <c r="E224" i="8"/>
  <c r="D224" i="8"/>
  <c r="C224" i="8"/>
  <c r="B224" i="8"/>
  <c r="A224" i="8"/>
  <c r="F223" i="8"/>
  <c r="E223" i="8"/>
  <c r="D223" i="8"/>
  <c r="C223" i="8"/>
  <c r="B223" i="8"/>
  <c r="A223" i="8"/>
  <c r="F222" i="8"/>
  <c r="E222" i="8"/>
  <c r="D222" i="8"/>
  <c r="C222" i="8"/>
  <c r="B222" i="8"/>
  <c r="A222" i="8"/>
  <c r="F221" i="8"/>
  <c r="E221" i="8"/>
  <c r="D221" i="8"/>
  <c r="C221" i="8"/>
  <c r="B221" i="8"/>
  <c r="A221" i="8"/>
  <c r="F220" i="8"/>
  <c r="E220" i="8"/>
  <c r="D220" i="8"/>
  <c r="C220" i="8"/>
  <c r="B220" i="8"/>
  <c r="A220" i="8"/>
  <c r="F219" i="8"/>
  <c r="E219" i="8"/>
  <c r="D219" i="8"/>
  <c r="C219" i="8"/>
  <c r="B219" i="8"/>
  <c r="A219" i="8"/>
  <c r="F218" i="8"/>
  <c r="E218" i="8"/>
  <c r="D218" i="8"/>
  <c r="C218" i="8"/>
  <c r="B218" i="8"/>
  <c r="A218" i="8"/>
  <c r="F217" i="8"/>
  <c r="E217" i="8"/>
  <c r="D217" i="8"/>
  <c r="C217" i="8"/>
  <c r="B217" i="8"/>
  <c r="A217" i="8"/>
  <c r="F216" i="8"/>
  <c r="E216" i="8"/>
  <c r="D216" i="8"/>
  <c r="C216" i="8"/>
  <c r="B216" i="8"/>
  <c r="A216" i="8"/>
  <c r="F215" i="8"/>
  <c r="E215" i="8"/>
  <c r="D215" i="8"/>
  <c r="C215" i="8"/>
  <c r="B215" i="8"/>
  <c r="A215" i="8"/>
  <c r="F214" i="8"/>
  <c r="E214" i="8"/>
  <c r="D214" i="8"/>
  <c r="C214" i="8"/>
  <c r="B214" i="8"/>
  <c r="A214" i="8"/>
  <c r="F213" i="8"/>
  <c r="E213" i="8"/>
  <c r="D213" i="8"/>
  <c r="C213" i="8"/>
  <c r="B213" i="8"/>
  <c r="A213" i="8"/>
  <c r="F212" i="8"/>
  <c r="E212" i="8"/>
  <c r="D212" i="8"/>
  <c r="C212" i="8"/>
  <c r="B212" i="8"/>
  <c r="A212" i="8"/>
  <c r="F211" i="8"/>
  <c r="E211" i="8"/>
  <c r="D211" i="8"/>
  <c r="C211" i="8"/>
  <c r="B211" i="8"/>
  <c r="A211" i="8"/>
  <c r="F210" i="8"/>
  <c r="E210" i="8"/>
  <c r="D210" i="8"/>
  <c r="C210" i="8"/>
  <c r="B210" i="8"/>
  <c r="A210" i="8"/>
  <c r="F209" i="8"/>
  <c r="E209" i="8"/>
  <c r="D209" i="8"/>
  <c r="C209" i="8"/>
  <c r="B209" i="8"/>
  <c r="A209" i="8"/>
  <c r="F208" i="8"/>
  <c r="E208" i="8"/>
  <c r="D208" i="8"/>
  <c r="C208" i="8"/>
  <c r="B208" i="8"/>
  <c r="A208" i="8"/>
  <c r="F207" i="8"/>
  <c r="E207" i="8"/>
  <c r="D207" i="8"/>
  <c r="C207" i="8"/>
  <c r="B207" i="8"/>
  <c r="A207" i="8"/>
  <c r="F206" i="8"/>
  <c r="E206" i="8"/>
  <c r="D206" i="8"/>
  <c r="C206" i="8"/>
  <c r="B206" i="8"/>
  <c r="A206" i="8"/>
  <c r="F205" i="8"/>
  <c r="E205" i="8"/>
  <c r="D205" i="8"/>
  <c r="C205" i="8"/>
  <c r="B205" i="8"/>
  <c r="A205" i="8"/>
  <c r="F204" i="8"/>
  <c r="E204" i="8"/>
  <c r="D204" i="8"/>
  <c r="C204" i="8"/>
  <c r="B204" i="8"/>
  <c r="A204" i="8"/>
  <c r="F203" i="8"/>
  <c r="E203" i="8"/>
  <c r="D203" i="8"/>
  <c r="C203" i="8"/>
  <c r="B203" i="8"/>
  <c r="A203" i="8"/>
  <c r="F202" i="8"/>
  <c r="E202" i="8"/>
  <c r="D202" i="8"/>
  <c r="C202" i="8"/>
  <c r="B202" i="8"/>
  <c r="A202" i="8"/>
  <c r="F201" i="8"/>
  <c r="E201" i="8"/>
  <c r="D201" i="8"/>
  <c r="C201" i="8"/>
  <c r="B201" i="8"/>
  <c r="A201" i="8"/>
  <c r="F200" i="8"/>
  <c r="E200" i="8"/>
  <c r="D200" i="8"/>
  <c r="C200" i="8"/>
  <c r="B200" i="8"/>
  <c r="A200" i="8"/>
  <c r="F199" i="8"/>
  <c r="E199" i="8"/>
  <c r="D199" i="8"/>
  <c r="C199" i="8"/>
  <c r="B199" i="8"/>
  <c r="A199" i="8"/>
  <c r="F198" i="8"/>
  <c r="E198" i="8"/>
  <c r="D198" i="8"/>
  <c r="C198" i="8"/>
  <c r="B198" i="8"/>
  <c r="A198" i="8"/>
  <c r="F197" i="8"/>
  <c r="E197" i="8"/>
  <c r="D197" i="8"/>
  <c r="C197" i="8"/>
  <c r="B197" i="8"/>
  <c r="A197" i="8"/>
  <c r="F196" i="8"/>
  <c r="E196" i="8"/>
  <c r="D196" i="8"/>
  <c r="C196" i="8"/>
  <c r="B196" i="8"/>
  <c r="A196" i="8"/>
  <c r="F195" i="8"/>
  <c r="E195" i="8"/>
  <c r="D195" i="8"/>
  <c r="C195" i="8"/>
  <c r="B195" i="8"/>
  <c r="A195" i="8"/>
  <c r="F194" i="8"/>
  <c r="E194" i="8"/>
  <c r="D194" i="8"/>
  <c r="C194" i="8"/>
  <c r="B194" i="8"/>
  <c r="A194" i="8"/>
  <c r="F193" i="8"/>
  <c r="E193" i="8"/>
  <c r="D193" i="8"/>
  <c r="C193" i="8"/>
  <c r="B193" i="8"/>
  <c r="A193" i="8"/>
  <c r="F192" i="8"/>
  <c r="E192" i="8"/>
  <c r="D192" i="8"/>
  <c r="C192" i="8"/>
  <c r="B192" i="8"/>
  <c r="A192" i="8"/>
  <c r="F191" i="8"/>
  <c r="E191" i="8"/>
  <c r="D191" i="8"/>
  <c r="C191" i="8"/>
  <c r="B191" i="8"/>
  <c r="A191" i="8"/>
  <c r="F190" i="8"/>
  <c r="E190" i="8"/>
  <c r="D190" i="8"/>
  <c r="C190" i="8"/>
  <c r="B190" i="8"/>
  <c r="A190" i="8"/>
  <c r="G190" i="8" s="1"/>
  <c r="F189" i="8"/>
  <c r="E189" i="8"/>
  <c r="D189" i="8"/>
  <c r="C189" i="8"/>
  <c r="B189" i="8"/>
  <c r="A189" i="8"/>
  <c r="F188" i="8"/>
  <c r="E188" i="8"/>
  <c r="D188" i="8"/>
  <c r="C188" i="8"/>
  <c r="B188" i="8"/>
  <c r="A188" i="8"/>
  <c r="F187" i="8"/>
  <c r="E187" i="8"/>
  <c r="D187" i="8"/>
  <c r="C187" i="8"/>
  <c r="B187" i="8"/>
  <c r="A187" i="8"/>
  <c r="F186" i="8"/>
  <c r="E186" i="8"/>
  <c r="D186" i="8"/>
  <c r="C186" i="8"/>
  <c r="B186" i="8"/>
  <c r="A186" i="8"/>
  <c r="F185" i="8"/>
  <c r="E185" i="8"/>
  <c r="D185" i="8"/>
  <c r="C185" i="8"/>
  <c r="B185" i="8"/>
  <c r="A185" i="8"/>
  <c r="F184" i="8"/>
  <c r="E184" i="8"/>
  <c r="D184" i="8"/>
  <c r="C184" i="8"/>
  <c r="B184" i="8"/>
  <c r="A184" i="8"/>
  <c r="F183" i="8"/>
  <c r="E183" i="8"/>
  <c r="D183" i="8"/>
  <c r="C183" i="8"/>
  <c r="B183" i="8"/>
  <c r="A183" i="8"/>
  <c r="F182" i="8"/>
  <c r="E182" i="8"/>
  <c r="D182" i="8"/>
  <c r="C182" i="8"/>
  <c r="B182" i="8"/>
  <c r="A182" i="8"/>
  <c r="G182" i="8" s="1"/>
  <c r="F181" i="8"/>
  <c r="E181" i="8"/>
  <c r="D181" i="8"/>
  <c r="C181" i="8"/>
  <c r="B181" i="8"/>
  <c r="A181" i="8"/>
  <c r="F180" i="8"/>
  <c r="E180" i="8"/>
  <c r="D180" i="8"/>
  <c r="C180" i="8"/>
  <c r="B180" i="8"/>
  <c r="A180" i="8"/>
  <c r="F179" i="8"/>
  <c r="E179" i="8"/>
  <c r="D179" i="8"/>
  <c r="C179" i="8"/>
  <c r="B179" i="8"/>
  <c r="A179" i="8"/>
  <c r="F178" i="8"/>
  <c r="E178" i="8"/>
  <c r="D178" i="8"/>
  <c r="C178" i="8"/>
  <c r="B178" i="8"/>
  <c r="A178" i="8"/>
  <c r="F177" i="8"/>
  <c r="E177" i="8"/>
  <c r="D177" i="8"/>
  <c r="C177" i="8"/>
  <c r="B177" i="8"/>
  <c r="A177" i="8"/>
  <c r="F176" i="8"/>
  <c r="E176" i="8"/>
  <c r="D176" i="8"/>
  <c r="C176" i="8"/>
  <c r="B176" i="8"/>
  <c r="A176" i="8"/>
  <c r="F175" i="8"/>
  <c r="E175" i="8"/>
  <c r="D175" i="8"/>
  <c r="C175" i="8"/>
  <c r="B175" i="8"/>
  <c r="A175" i="8"/>
  <c r="F174" i="8"/>
  <c r="E174" i="8"/>
  <c r="D174" i="8"/>
  <c r="C174" i="8"/>
  <c r="B174" i="8"/>
  <c r="A174" i="8"/>
  <c r="F173" i="8"/>
  <c r="E173" i="8"/>
  <c r="D173" i="8"/>
  <c r="C173" i="8"/>
  <c r="B173" i="8"/>
  <c r="A173" i="8"/>
  <c r="F172" i="8"/>
  <c r="E172" i="8"/>
  <c r="D172" i="8"/>
  <c r="C172" i="8"/>
  <c r="B172" i="8"/>
  <c r="A172" i="8"/>
  <c r="F171" i="8"/>
  <c r="E171" i="8"/>
  <c r="D171" i="8"/>
  <c r="C171" i="8"/>
  <c r="B171" i="8"/>
  <c r="A171" i="8"/>
  <c r="F170" i="8"/>
  <c r="E170" i="8"/>
  <c r="D170" i="8"/>
  <c r="C170" i="8"/>
  <c r="B170" i="8"/>
  <c r="A170" i="8"/>
  <c r="F169" i="8"/>
  <c r="E169" i="8"/>
  <c r="D169" i="8"/>
  <c r="C169" i="8"/>
  <c r="B169" i="8"/>
  <c r="A169" i="8"/>
  <c r="F168" i="8"/>
  <c r="E168" i="8"/>
  <c r="D168" i="8"/>
  <c r="C168" i="8"/>
  <c r="B168" i="8"/>
  <c r="A168" i="8"/>
  <c r="F167" i="8"/>
  <c r="E167" i="8"/>
  <c r="D167" i="8"/>
  <c r="C167" i="8"/>
  <c r="B167" i="8"/>
  <c r="A167" i="8"/>
  <c r="F166" i="8"/>
  <c r="E166" i="8"/>
  <c r="D166" i="8"/>
  <c r="C166" i="8"/>
  <c r="B166" i="8"/>
  <c r="A166" i="8"/>
  <c r="F165" i="8"/>
  <c r="E165" i="8"/>
  <c r="D165" i="8"/>
  <c r="C165" i="8"/>
  <c r="B165" i="8"/>
  <c r="A165" i="8"/>
  <c r="F164" i="8"/>
  <c r="E164" i="8"/>
  <c r="D164" i="8"/>
  <c r="C164" i="8"/>
  <c r="B164" i="8"/>
  <c r="A164" i="8"/>
  <c r="F163" i="8"/>
  <c r="E163" i="8"/>
  <c r="D163" i="8"/>
  <c r="C163" i="8"/>
  <c r="B163" i="8"/>
  <c r="A163" i="8"/>
  <c r="F162" i="8"/>
  <c r="E162" i="8"/>
  <c r="D162" i="8"/>
  <c r="C162" i="8"/>
  <c r="B162" i="8"/>
  <c r="A162" i="8"/>
  <c r="F161" i="8"/>
  <c r="E161" i="8"/>
  <c r="D161" i="8"/>
  <c r="C161" i="8"/>
  <c r="B161" i="8"/>
  <c r="A161" i="8"/>
  <c r="F160" i="8"/>
  <c r="E160" i="8"/>
  <c r="D160" i="8"/>
  <c r="C160" i="8"/>
  <c r="B160" i="8"/>
  <c r="A160" i="8"/>
  <c r="F159" i="8"/>
  <c r="E159" i="8"/>
  <c r="D159" i="8"/>
  <c r="C159" i="8"/>
  <c r="B159" i="8"/>
  <c r="A159" i="8"/>
  <c r="F158" i="8"/>
  <c r="E158" i="8"/>
  <c r="D158" i="8"/>
  <c r="C158" i="8"/>
  <c r="B158" i="8"/>
  <c r="A158" i="8"/>
  <c r="F157" i="8"/>
  <c r="E157" i="8"/>
  <c r="D157" i="8"/>
  <c r="C157" i="8"/>
  <c r="B157" i="8"/>
  <c r="A157" i="8"/>
  <c r="F156" i="8"/>
  <c r="E156" i="8"/>
  <c r="D156" i="8"/>
  <c r="C156" i="8"/>
  <c r="B156" i="8"/>
  <c r="A156" i="8"/>
  <c r="F155" i="8"/>
  <c r="E155" i="8"/>
  <c r="D155" i="8"/>
  <c r="C155" i="8"/>
  <c r="B155" i="8"/>
  <c r="A155" i="8"/>
  <c r="F154" i="8"/>
  <c r="E154" i="8"/>
  <c r="D154" i="8"/>
  <c r="C154" i="8"/>
  <c r="B154" i="8"/>
  <c r="A154" i="8"/>
  <c r="F153" i="8"/>
  <c r="E153" i="8"/>
  <c r="D153" i="8"/>
  <c r="C153" i="8"/>
  <c r="B153" i="8"/>
  <c r="A153" i="8"/>
  <c r="F152" i="8"/>
  <c r="E152" i="8"/>
  <c r="D152" i="8"/>
  <c r="C152" i="8"/>
  <c r="B152" i="8"/>
  <c r="A152" i="8"/>
  <c r="F151" i="8"/>
  <c r="E151" i="8"/>
  <c r="D151" i="8"/>
  <c r="C151" i="8"/>
  <c r="B151" i="8"/>
  <c r="A151" i="8"/>
  <c r="F150" i="8"/>
  <c r="E150" i="8"/>
  <c r="D150" i="8"/>
  <c r="C150" i="8"/>
  <c r="B150" i="8"/>
  <c r="A150" i="8"/>
  <c r="F149" i="8"/>
  <c r="E149" i="8"/>
  <c r="D149" i="8"/>
  <c r="C149" i="8"/>
  <c r="B149" i="8"/>
  <c r="A149" i="8"/>
  <c r="F148" i="8"/>
  <c r="E148" i="8"/>
  <c r="D148" i="8"/>
  <c r="C148" i="8"/>
  <c r="B148" i="8"/>
  <c r="A148" i="8"/>
  <c r="F147" i="8"/>
  <c r="E147" i="8"/>
  <c r="D147" i="8"/>
  <c r="C147" i="8"/>
  <c r="B147" i="8"/>
  <c r="A147" i="8"/>
  <c r="F146" i="8"/>
  <c r="E146" i="8"/>
  <c r="D146" i="8"/>
  <c r="C146" i="8"/>
  <c r="B146" i="8"/>
  <c r="A146" i="8"/>
  <c r="F145" i="8"/>
  <c r="E145" i="8"/>
  <c r="D145" i="8"/>
  <c r="C145" i="8"/>
  <c r="B145" i="8"/>
  <c r="A145" i="8"/>
  <c r="F144" i="8"/>
  <c r="E144" i="8"/>
  <c r="D144" i="8"/>
  <c r="C144" i="8"/>
  <c r="B144" i="8"/>
  <c r="A144" i="8"/>
  <c r="F143" i="8"/>
  <c r="E143" i="8"/>
  <c r="D143" i="8"/>
  <c r="C143" i="8"/>
  <c r="B143" i="8"/>
  <c r="A143" i="8"/>
  <c r="F142" i="8"/>
  <c r="E142" i="8"/>
  <c r="D142" i="8"/>
  <c r="C142" i="8"/>
  <c r="B142" i="8"/>
  <c r="A142" i="8"/>
  <c r="F141" i="8"/>
  <c r="E141" i="8"/>
  <c r="D141" i="8"/>
  <c r="C141" i="8"/>
  <c r="B141" i="8"/>
  <c r="A141" i="8"/>
  <c r="F140" i="8"/>
  <c r="E140" i="8"/>
  <c r="D140" i="8"/>
  <c r="C140" i="8"/>
  <c r="B140" i="8"/>
  <c r="A140" i="8"/>
  <c r="F139" i="8"/>
  <c r="E139" i="8"/>
  <c r="D139" i="8"/>
  <c r="C139" i="8"/>
  <c r="B139" i="8"/>
  <c r="A139" i="8"/>
  <c r="F138" i="8"/>
  <c r="E138" i="8"/>
  <c r="D138" i="8"/>
  <c r="C138" i="8"/>
  <c r="B138" i="8"/>
  <c r="A138" i="8"/>
  <c r="F137" i="8"/>
  <c r="E137" i="8"/>
  <c r="D137" i="8"/>
  <c r="C137" i="8"/>
  <c r="B137" i="8"/>
  <c r="A137" i="8"/>
  <c r="F136" i="8"/>
  <c r="E136" i="8"/>
  <c r="D136" i="8"/>
  <c r="C136" i="8"/>
  <c r="B136" i="8"/>
  <c r="A136" i="8"/>
  <c r="F135" i="8"/>
  <c r="E135" i="8"/>
  <c r="D135" i="8"/>
  <c r="C135" i="8"/>
  <c r="B135" i="8"/>
  <c r="A135" i="8"/>
  <c r="F134" i="8"/>
  <c r="E134" i="8"/>
  <c r="D134" i="8"/>
  <c r="C134" i="8"/>
  <c r="B134" i="8"/>
  <c r="A134" i="8"/>
  <c r="F133" i="8"/>
  <c r="E133" i="8"/>
  <c r="D133" i="8"/>
  <c r="C133" i="8"/>
  <c r="B133" i="8"/>
  <c r="A133" i="8"/>
  <c r="F132" i="8"/>
  <c r="E132" i="8"/>
  <c r="D132" i="8"/>
  <c r="C132" i="8"/>
  <c r="B132" i="8"/>
  <c r="A132" i="8"/>
  <c r="F131" i="8"/>
  <c r="E131" i="8"/>
  <c r="D131" i="8"/>
  <c r="C131" i="8"/>
  <c r="B131" i="8"/>
  <c r="A131" i="8"/>
  <c r="F130" i="8"/>
  <c r="E130" i="8"/>
  <c r="D130" i="8"/>
  <c r="C130" i="8"/>
  <c r="B130" i="8"/>
  <c r="A130" i="8"/>
  <c r="F129" i="8"/>
  <c r="E129" i="8"/>
  <c r="D129" i="8"/>
  <c r="C129" i="8"/>
  <c r="B129" i="8"/>
  <c r="A129" i="8"/>
  <c r="F128" i="8"/>
  <c r="E128" i="8"/>
  <c r="D128" i="8"/>
  <c r="C128" i="8"/>
  <c r="B128" i="8"/>
  <c r="A128" i="8"/>
  <c r="F127" i="8"/>
  <c r="E127" i="8"/>
  <c r="D127" i="8"/>
  <c r="C127" i="8"/>
  <c r="B127" i="8"/>
  <c r="A127" i="8"/>
  <c r="F126" i="8"/>
  <c r="G126" i="8" s="1"/>
  <c r="E126" i="8"/>
  <c r="D126" i="8"/>
  <c r="C126" i="8"/>
  <c r="B126" i="8"/>
  <c r="A126" i="8"/>
  <c r="F125" i="8"/>
  <c r="E125" i="8"/>
  <c r="D125" i="8"/>
  <c r="C125" i="8"/>
  <c r="B125" i="8"/>
  <c r="A125" i="8"/>
  <c r="F124" i="8"/>
  <c r="E124" i="8"/>
  <c r="D124" i="8"/>
  <c r="C124" i="8"/>
  <c r="B124" i="8"/>
  <c r="A124" i="8"/>
  <c r="F123" i="8"/>
  <c r="E123" i="8"/>
  <c r="D123" i="8"/>
  <c r="C123" i="8"/>
  <c r="B123" i="8"/>
  <c r="A123" i="8"/>
  <c r="F122" i="8"/>
  <c r="E122" i="8"/>
  <c r="D122" i="8"/>
  <c r="C122" i="8"/>
  <c r="B122" i="8"/>
  <c r="A122" i="8"/>
  <c r="F121" i="8"/>
  <c r="E121" i="8"/>
  <c r="D121" i="8"/>
  <c r="C121" i="8"/>
  <c r="B121" i="8"/>
  <c r="A121" i="8"/>
  <c r="F120" i="8"/>
  <c r="E120" i="8"/>
  <c r="D120" i="8"/>
  <c r="C120" i="8"/>
  <c r="B120" i="8"/>
  <c r="A120" i="8"/>
  <c r="F119" i="8"/>
  <c r="E119" i="8"/>
  <c r="D119" i="8"/>
  <c r="C119" i="8"/>
  <c r="B119" i="8"/>
  <c r="A119" i="8"/>
  <c r="F118" i="8"/>
  <c r="E118" i="8"/>
  <c r="D118" i="8"/>
  <c r="C118" i="8"/>
  <c r="B118" i="8"/>
  <c r="A118" i="8"/>
  <c r="F117" i="8"/>
  <c r="E117" i="8"/>
  <c r="D117" i="8"/>
  <c r="C117" i="8"/>
  <c r="B117" i="8"/>
  <c r="A117" i="8"/>
  <c r="F116" i="8"/>
  <c r="E116" i="8"/>
  <c r="D116" i="8"/>
  <c r="C116" i="8"/>
  <c r="B116" i="8"/>
  <c r="A116" i="8"/>
  <c r="F115" i="8"/>
  <c r="E115" i="8"/>
  <c r="D115" i="8"/>
  <c r="C115" i="8"/>
  <c r="B115" i="8"/>
  <c r="A115" i="8"/>
  <c r="F114" i="8"/>
  <c r="E114" i="8"/>
  <c r="D114" i="8"/>
  <c r="C114" i="8"/>
  <c r="B114" i="8"/>
  <c r="A114" i="8"/>
  <c r="F113" i="8"/>
  <c r="E113" i="8"/>
  <c r="D113" i="8"/>
  <c r="C113" i="8"/>
  <c r="B113" i="8"/>
  <c r="A113" i="8"/>
  <c r="F112" i="8"/>
  <c r="E112" i="8"/>
  <c r="D112" i="8"/>
  <c r="C112" i="8"/>
  <c r="B112" i="8"/>
  <c r="A112" i="8"/>
  <c r="F111" i="8"/>
  <c r="E111" i="8"/>
  <c r="D111" i="8"/>
  <c r="C111" i="8"/>
  <c r="B111" i="8"/>
  <c r="A111" i="8"/>
  <c r="F110" i="8"/>
  <c r="E110" i="8"/>
  <c r="D110" i="8"/>
  <c r="C110" i="8"/>
  <c r="B110" i="8"/>
  <c r="A110" i="8"/>
  <c r="F109" i="8"/>
  <c r="E109" i="8"/>
  <c r="D109" i="8"/>
  <c r="C109" i="8"/>
  <c r="B109" i="8"/>
  <c r="A109" i="8"/>
  <c r="F108" i="8"/>
  <c r="E108" i="8"/>
  <c r="D108" i="8"/>
  <c r="C108" i="8"/>
  <c r="B108" i="8"/>
  <c r="A108" i="8"/>
  <c r="F107" i="8"/>
  <c r="E107" i="8"/>
  <c r="D107" i="8"/>
  <c r="C107" i="8"/>
  <c r="B107" i="8"/>
  <c r="A107" i="8"/>
  <c r="F106" i="8"/>
  <c r="E106" i="8"/>
  <c r="D106" i="8"/>
  <c r="C106" i="8"/>
  <c r="B106" i="8"/>
  <c r="A106" i="8"/>
  <c r="G106" i="8" s="1"/>
  <c r="F105" i="8"/>
  <c r="E105" i="8"/>
  <c r="D105" i="8"/>
  <c r="C105" i="8"/>
  <c r="B105" i="8"/>
  <c r="A105" i="8"/>
  <c r="F104" i="8"/>
  <c r="E104" i="8"/>
  <c r="D104" i="8"/>
  <c r="C104" i="8"/>
  <c r="B104" i="8"/>
  <c r="A104" i="8"/>
  <c r="F103" i="8"/>
  <c r="E103" i="8"/>
  <c r="D103" i="8"/>
  <c r="C103" i="8"/>
  <c r="B103" i="8"/>
  <c r="A103" i="8"/>
  <c r="F102" i="8"/>
  <c r="E102" i="8"/>
  <c r="D102" i="8"/>
  <c r="C102" i="8"/>
  <c r="B102" i="8"/>
  <c r="A102" i="8"/>
  <c r="F101" i="8"/>
  <c r="E101" i="8"/>
  <c r="D101" i="8"/>
  <c r="C101" i="8"/>
  <c r="B101" i="8"/>
  <c r="A101" i="8"/>
  <c r="F100" i="8"/>
  <c r="E100" i="8"/>
  <c r="D100" i="8"/>
  <c r="C100" i="8"/>
  <c r="B100" i="8"/>
  <c r="A100" i="8"/>
  <c r="F99" i="8"/>
  <c r="E99" i="8"/>
  <c r="D99" i="8"/>
  <c r="C99" i="8"/>
  <c r="B99" i="8"/>
  <c r="A99" i="8"/>
  <c r="F98" i="8"/>
  <c r="E98" i="8"/>
  <c r="D98" i="8"/>
  <c r="C98" i="8"/>
  <c r="B98" i="8"/>
  <c r="A98" i="8"/>
  <c r="F97" i="8"/>
  <c r="E97" i="8"/>
  <c r="D97" i="8"/>
  <c r="C97" i="8"/>
  <c r="B97" i="8"/>
  <c r="A97" i="8"/>
  <c r="F96" i="8"/>
  <c r="E96" i="8"/>
  <c r="D96" i="8"/>
  <c r="C96" i="8"/>
  <c r="B96" i="8"/>
  <c r="A96" i="8"/>
  <c r="F95" i="8"/>
  <c r="E95" i="8"/>
  <c r="D95" i="8"/>
  <c r="C95" i="8"/>
  <c r="B95" i="8"/>
  <c r="A95" i="8"/>
  <c r="F94" i="8"/>
  <c r="E94" i="8"/>
  <c r="D94" i="8"/>
  <c r="C94" i="8"/>
  <c r="B94" i="8"/>
  <c r="A94" i="8"/>
  <c r="F93" i="8"/>
  <c r="E93" i="8"/>
  <c r="D93" i="8"/>
  <c r="C93" i="8"/>
  <c r="B93" i="8"/>
  <c r="A93" i="8"/>
  <c r="F92" i="8"/>
  <c r="E92" i="8"/>
  <c r="D92" i="8"/>
  <c r="C92" i="8"/>
  <c r="B92" i="8"/>
  <c r="A92" i="8"/>
  <c r="F91" i="8"/>
  <c r="E91" i="8"/>
  <c r="D91" i="8"/>
  <c r="C91" i="8"/>
  <c r="B91" i="8"/>
  <c r="A91" i="8"/>
  <c r="F90" i="8"/>
  <c r="E90" i="8"/>
  <c r="D90" i="8"/>
  <c r="C90" i="8"/>
  <c r="B90" i="8"/>
  <c r="A90" i="8"/>
  <c r="F89" i="8"/>
  <c r="E89" i="8"/>
  <c r="D89" i="8"/>
  <c r="C89" i="8"/>
  <c r="B89" i="8"/>
  <c r="A89" i="8"/>
  <c r="F88" i="8"/>
  <c r="E88" i="8"/>
  <c r="D88" i="8"/>
  <c r="C88" i="8"/>
  <c r="B88" i="8"/>
  <c r="A88" i="8"/>
  <c r="F87" i="8"/>
  <c r="E87" i="8"/>
  <c r="D87" i="8"/>
  <c r="C87" i="8"/>
  <c r="B87" i="8"/>
  <c r="A87" i="8"/>
  <c r="F86" i="8"/>
  <c r="E86" i="8"/>
  <c r="D86" i="8"/>
  <c r="C86" i="8"/>
  <c r="B86" i="8"/>
  <c r="A86" i="8"/>
  <c r="F85" i="8"/>
  <c r="E85" i="8"/>
  <c r="D85" i="8"/>
  <c r="C85" i="8"/>
  <c r="B85" i="8"/>
  <c r="A85" i="8"/>
  <c r="F84" i="8"/>
  <c r="E84" i="8"/>
  <c r="D84" i="8"/>
  <c r="C84" i="8"/>
  <c r="B84" i="8"/>
  <c r="A84" i="8"/>
  <c r="F83" i="8"/>
  <c r="E83" i="8"/>
  <c r="D83" i="8"/>
  <c r="C83" i="8"/>
  <c r="B83" i="8"/>
  <c r="A83" i="8"/>
  <c r="F82" i="8"/>
  <c r="E82" i="8"/>
  <c r="D82" i="8"/>
  <c r="C82" i="8"/>
  <c r="B82" i="8"/>
  <c r="A82" i="8"/>
  <c r="G82" i="8" s="1"/>
  <c r="F81" i="8"/>
  <c r="E81" i="8"/>
  <c r="D81" i="8"/>
  <c r="C81" i="8"/>
  <c r="B81" i="8"/>
  <c r="A81" i="8"/>
  <c r="F80" i="8"/>
  <c r="E80" i="8"/>
  <c r="D80" i="8"/>
  <c r="C80" i="8"/>
  <c r="B80" i="8"/>
  <c r="A80" i="8"/>
  <c r="F79" i="8"/>
  <c r="E79" i="8"/>
  <c r="D79" i="8"/>
  <c r="C79" i="8"/>
  <c r="B79" i="8"/>
  <c r="A79" i="8"/>
  <c r="F78" i="8"/>
  <c r="E78" i="8"/>
  <c r="D78" i="8"/>
  <c r="C78" i="8"/>
  <c r="B78" i="8"/>
  <c r="A78" i="8"/>
  <c r="F77" i="8"/>
  <c r="E77" i="8"/>
  <c r="D77" i="8"/>
  <c r="C77" i="8"/>
  <c r="B77" i="8"/>
  <c r="A77" i="8"/>
  <c r="F76" i="8"/>
  <c r="E76" i="8"/>
  <c r="D76" i="8"/>
  <c r="C76" i="8"/>
  <c r="B76" i="8"/>
  <c r="A76" i="8"/>
  <c r="F75" i="8"/>
  <c r="E75" i="8"/>
  <c r="D75" i="8"/>
  <c r="C75" i="8"/>
  <c r="B75" i="8"/>
  <c r="A75" i="8"/>
  <c r="F74" i="8"/>
  <c r="E74" i="8"/>
  <c r="D74" i="8"/>
  <c r="C74" i="8"/>
  <c r="B74" i="8"/>
  <c r="A74" i="8"/>
  <c r="F73" i="8"/>
  <c r="E73" i="8"/>
  <c r="D73" i="8"/>
  <c r="C73" i="8"/>
  <c r="B73" i="8"/>
  <c r="A73" i="8"/>
  <c r="F72" i="8"/>
  <c r="E72" i="8"/>
  <c r="D72" i="8"/>
  <c r="C72" i="8"/>
  <c r="B72" i="8"/>
  <c r="A72" i="8"/>
  <c r="F71" i="8"/>
  <c r="E71" i="8"/>
  <c r="D71" i="8"/>
  <c r="C71" i="8"/>
  <c r="B71" i="8"/>
  <c r="A71" i="8"/>
  <c r="F70" i="8"/>
  <c r="E70" i="8"/>
  <c r="D70" i="8"/>
  <c r="C70" i="8"/>
  <c r="B70" i="8"/>
  <c r="A70" i="8"/>
  <c r="F69" i="8"/>
  <c r="E69" i="8"/>
  <c r="D69" i="8"/>
  <c r="C69" i="8"/>
  <c r="B69" i="8"/>
  <c r="A69" i="8"/>
  <c r="F68" i="8"/>
  <c r="E68" i="8"/>
  <c r="D68" i="8"/>
  <c r="C68" i="8"/>
  <c r="B68" i="8"/>
  <c r="A68" i="8"/>
  <c r="F67" i="8"/>
  <c r="E67" i="8"/>
  <c r="D67" i="8"/>
  <c r="C67" i="8"/>
  <c r="B67" i="8"/>
  <c r="A67" i="8"/>
  <c r="F66" i="8"/>
  <c r="E66" i="8"/>
  <c r="D66" i="8"/>
  <c r="C66" i="8"/>
  <c r="B66" i="8"/>
  <c r="A66" i="8"/>
  <c r="F65" i="8"/>
  <c r="E65" i="8"/>
  <c r="D65" i="8"/>
  <c r="C65" i="8"/>
  <c r="B65" i="8"/>
  <c r="A65" i="8"/>
  <c r="F64" i="8"/>
  <c r="E64" i="8"/>
  <c r="D64" i="8"/>
  <c r="C64" i="8"/>
  <c r="B64" i="8"/>
  <c r="A64" i="8"/>
  <c r="F63" i="8"/>
  <c r="E63" i="8"/>
  <c r="D63" i="8"/>
  <c r="C63" i="8"/>
  <c r="B63" i="8"/>
  <c r="A63" i="8"/>
  <c r="F62" i="8"/>
  <c r="E62" i="8"/>
  <c r="D62" i="8"/>
  <c r="C62" i="8"/>
  <c r="B62" i="8"/>
  <c r="A62" i="8"/>
  <c r="F61" i="8"/>
  <c r="E61" i="8"/>
  <c r="D61" i="8"/>
  <c r="C61" i="8"/>
  <c r="B61" i="8"/>
  <c r="A61" i="8"/>
  <c r="F60" i="8"/>
  <c r="E60" i="8"/>
  <c r="D60" i="8"/>
  <c r="C60" i="8"/>
  <c r="B60" i="8"/>
  <c r="A60" i="8"/>
  <c r="G60" i="8" s="1"/>
  <c r="F59" i="8"/>
  <c r="E59" i="8"/>
  <c r="D59" i="8"/>
  <c r="C59" i="8"/>
  <c r="B59" i="8"/>
  <c r="A59" i="8"/>
  <c r="F58" i="8"/>
  <c r="E58" i="8"/>
  <c r="D58" i="8"/>
  <c r="C58" i="8"/>
  <c r="B58" i="8"/>
  <c r="A58" i="8"/>
  <c r="F57" i="8"/>
  <c r="E57" i="8"/>
  <c r="D57" i="8"/>
  <c r="C57" i="8"/>
  <c r="B57" i="8"/>
  <c r="A57" i="8"/>
  <c r="F56" i="8"/>
  <c r="E56" i="8"/>
  <c r="D56" i="8"/>
  <c r="C56" i="8"/>
  <c r="B56" i="8"/>
  <c r="A56" i="8"/>
  <c r="F55" i="8"/>
  <c r="E55" i="8"/>
  <c r="D55" i="8"/>
  <c r="C55" i="8"/>
  <c r="B55" i="8"/>
  <c r="A55" i="8"/>
  <c r="F54" i="8"/>
  <c r="E54" i="8"/>
  <c r="D54" i="8"/>
  <c r="C54" i="8"/>
  <c r="B54" i="8"/>
  <c r="A54" i="8"/>
  <c r="F53" i="8"/>
  <c r="E53" i="8"/>
  <c r="D53" i="8"/>
  <c r="C53" i="8"/>
  <c r="B53" i="8"/>
  <c r="A53" i="8"/>
  <c r="F52" i="8"/>
  <c r="E52" i="8"/>
  <c r="D52" i="8"/>
  <c r="C52" i="8"/>
  <c r="B52" i="8"/>
  <c r="A52" i="8"/>
  <c r="G52" i="8" s="1"/>
  <c r="F51" i="8"/>
  <c r="E51" i="8"/>
  <c r="D51" i="8"/>
  <c r="C51" i="8"/>
  <c r="B51" i="8"/>
  <c r="A51" i="8"/>
  <c r="F50" i="8"/>
  <c r="E50" i="8"/>
  <c r="D50" i="8"/>
  <c r="C50" i="8"/>
  <c r="B50" i="8"/>
  <c r="A50" i="8"/>
  <c r="G50" i="8" s="1"/>
  <c r="F49" i="8"/>
  <c r="E49" i="8"/>
  <c r="D49" i="8"/>
  <c r="C49" i="8"/>
  <c r="B49" i="8"/>
  <c r="A49" i="8"/>
  <c r="F48" i="8"/>
  <c r="E48" i="8"/>
  <c r="D48" i="8"/>
  <c r="C48" i="8"/>
  <c r="B48" i="8"/>
  <c r="A48" i="8"/>
  <c r="F47" i="8"/>
  <c r="E47" i="8"/>
  <c r="D47" i="8"/>
  <c r="C47" i="8"/>
  <c r="B47" i="8"/>
  <c r="A47" i="8"/>
  <c r="F46" i="8"/>
  <c r="E46" i="8"/>
  <c r="D46" i="8"/>
  <c r="C46" i="8"/>
  <c r="B46" i="8"/>
  <c r="A46" i="8"/>
  <c r="G46" i="8" s="1"/>
  <c r="F45" i="8"/>
  <c r="E45" i="8"/>
  <c r="D45" i="8"/>
  <c r="C45" i="8"/>
  <c r="B45" i="8"/>
  <c r="A45" i="8"/>
  <c r="F44" i="8"/>
  <c r="E44" i="8"/>
  <c r="D44" i="8"/>
  <c r="C44" i="8"/>
  <c r="B44" i="8"/>
  <c r="A44" i="8"/>
  <c r="F43" i="8"/>
  <c r="E43" i="8"/>
  <c r="D43" i="8"/>
  <c r="C43" i="8"/>
  <c r="B43" i="8"/>
  <c r="A43" i="8"/>
  <c r="F42" i="8"/>
  <c r="E42" i="8"/>
  <c r="D42" i="8"/>
  <c r="C42" i="8"/>
  <c r="B42" i="8"/>
  <c r="A42" i="8"/>
  <c r="F41" i="8"/>
  <c r="E41" i="8"/>
  <c r="D41" i="8"/>
  <c r="C41" i="8"/>
  <c r="B41" i="8"/>
  <c r="A41" i="8"/>
  <c r="F40" i="8"/>
  <c r="E40" i="8"/>
  <c r="D40" i="8"/>
  <c r="C40" i="8"/>
  <c r="B40" i="8"/>
  <c r="A40" i="8"/>
  <c r="F39" i="8"/>
  <c r="E39" i="8"/>
  <c r="D39" i="8"/>
  <c r="C39" i="8"/>
  <c r="B39" i="8"/>
  <c r="A39" i="8"/>
  <c r="F38" i="8"/>
  <c r="E38" i="8"/>
  <c r="D38" i="8"/>
  <c r="C38" i="8"/>
  <c r="B38" i="8"/>
  <c r="A38" i="8"/>
  <c r="F37" i="8"/>
  <c r="E37" i="8"/>
  <c r="D37" i="8"/>
  <c r="C37" i="8"/>
  <c r="B37" i="8"/>
  <c r="A37" i="8"/>
  <c r="F36" i="8"/>
  <c r="E36" i="8"/>
  <c r="D36" i="8"/>
  <c r="C36" i="8"/>
  <c r="B36" i="8"/>
  <c r="A36" i="8"/>
  <c r="F35" i="8"/>
  <c r="E35" i="8"/>
  <c r="D35" i="8"/>
  <c r="C35" i="8"/>
  <c r="B35" i="8"/>
  <c r="A35" i="8"/>
  <c r="F34" i="8"/>
  <c r="E34" i="8"/>
  <c r="D34" i="8"/>
  <c r="C34" i="8"/>
  <c r="B34" i="8"/>
  <c r="A34" i="8"/>
  <c r="F33" i="8"/>
  <c r="E33" i="8"/>
  <c r="D33" i="8"/>
  <c r="C33" i="8"/>
  <c r="B33" i="8"/>
  <c r="A33" i="8"/>
  <c r="F32" i="8"/>
  <c r="E32" i="8"/>
  <c r="D32" i="8"/>
  <c r="C32" i="8"/>
  <c r="B32" i="8"/>
  <c r="A32" i="8"/>
  <c r="F31" i="8"/>
  <c r="E31" i="8"/>
  <c r="D31" i="8"/>
  <c r="C31" i="8"/>
  <c r="B31" i="8"/>
  <c r="A31" i="8"/>
  <c r="F30" i="8"/>
  <c r="E30" i="8"/>
  <c r="D30" i="8"/>
  <c r="C30" i="8"/>
  <c r="B30" i="8"/>
  <c r="A30" i="8"/>
  <c r="F29" i="8"/>
  <c r="E29" i="8"/>
  <c r="D29" i="8"/>
  <c r="C29" i="8"/>
  <c r="B29" i="8"/>
  <c r="A29" i="8"/>
  <c r="F28" i="8"/>
  <c r="E28" i="8"/>
  <c r="D28" i="8"/>
  <c r="C28" i="8"/>
  <c r="B28" i="8"/>
  <c r="A28" i="8"/>
  <c r="F27" i="8"/>
  <c r="E27" i="8"/>
  <c r="D27" i="8"/>
  <c r="C27" i="8"/>
  <c r="B27" i="8"/>
  <c r="A27" i="8"/>
  <c r="F26" i="8"/>
  <c r="E26" i="8"/>
  <c r="D26" i="8"/>
  <c r="C26" i="8"/>
  <c r="B26" i="8"/>
  <c r="A26" i="8"/>
  <c r="F25" i="8"/>
  <c r="E25" i="8"/>
  <c r="D25" i="8"/>
  <c r="C25" i="8"/>
  <c r="B25" i="8"/>
  <c r="A25" i="8"/>
  <c r="F24" i="8"/>
  <c r="E24" i="8"/>
  <c r="D24" i="8"/>
  <c r="C24" i="8"/>
  <c r="B24" i="8"/>
  <c r="A24" i="8"/>
  <c r="F23" i="8"/>
  <c r="E23" i="8"/>
  <c r="D23" i="8"/>
  <c r="C23" i="8"/>
  <c r="B23" i="8"/>
  <c r="A23" i="8"/>
  <c r="F22" i="8"/>
  <c r="E22" i="8"/>
  <c r="D22" i="8"/>
  <c r="C22" i="8"/>
  <c r="B22" i="8"/>
  <c r="A22" i="8"/>
  <c r="F21" i="8"/>
  <c r="E21" i="8"/>
  <c r="D21" i="8"/>
  <c r="C21" i="8"/>
  <c r="B21" i="8"/>
  <c r="A21" i="8"/>
  <c r="F20" i="8"/>
  <c r="G20" i="8" s="1"/>
  <c r="E20" i="8"/>
  <c r="D20" i="8"/>
  <c r="C20" i="8"/>
  <c r="B20" i="8"/>
  <c r="A20" i="8"/>
  <c r="F19" i="8"/>
  <c r="E19" i="8"/>
  <c r="D19" i="8"/>
  <c r="C19" i="8"/>
  <c r="B19" i="8"/>
  <c r="A19" i="8"/>
  <c r="F18" i="8"/>
  <c r="E18" i="8"/>
  <c r="D18" i="8"/>
  <c r="C18" i="8"/>
  <c r="B18" i="8"/>
  <c r="A18" i="8"/>
  <c r="F17" i="8"/>
  <c r="E17" i="8"/>
  <c r="D17" i="8"/>
  <c r="C17" i="8"/>
  <c r="B17" i="8"/>
  <c r="A17" i="8"/>
  <c r="F16" i="8"/>
  <c r="E16" i="8"/>
  <c r="D16" i="8"/>
  <c r="C16" i="8"/>
  <c r="B16" i="8"/>
  <c r="A16" i="8"/>
  <c r="F15" i="8"/>
  <c r="E15" i="8"/>
  <c r="D15" i="8"/>
  <c r="C15" i="8"/>
  <c r="B15" i="8"/>
  <c r="A15" i="8"/>
  <c r="F14" i="8"/>
  <c r="E14" i="8"/>
  <c r="D14" i="8"/>
  <c r="C14" i="8"/>
  <c r="B14" i="8"/>
  <c r="A14" i="8"/>
  <c r="F13" i="8"/>
  <c r="E13" i="8"/>
  <c r="D13" i="8"/>
  <c r="C13" i="8"/>
  <c r="B13" i="8"/>
  <c r="A13" i="8"/>
  <c r="F12" i="8"/>
  <c r="G12" i="8" s="1"/>
  <c r="E12" i="8"/>
  <c r="D12" i="8"/>
  <c r="C12" i="8"/>
  <c r="B12" i="8"/>
  <c r="A12" i="8"/>
  <c r="F11" i="8"/>
  <c r="E11" i="8"/>
  <c r="D11" i="8"/>
  <c r="C11" i="8"/>
  <c r="B11" i="8"/>
  <c r="A11" i="8"/>
  <c r="F10" i="8"/>
  <c r="E10" i="8"/>
  <c r="D10" i="8"/>
  <c r="C10" i="8"/>
  <c r="B10" i="8"/>
  <c r="A10" i="8"/>
  <c r="F9" i="8"/>
  <c r="E9" i="8"/>
  <c r="D9" i="8"/>
  <c r="C9" i="8"/>
  <c r="B9" i="8"/>
  <c r="A9" i="8"/>
  <c r="F8" i="8"/>
  <c r="G8" i="8" s="1"/>
  <c r="E8" i="8"/>
  <c r="D8" i="8"/>
  <c r="C8" i="8"/>
  <c r="B8" i="8"/>
  <c r="A8" i="8"/>
  <c r="F7" i="8"/>
  <c r="E7" i="8"/>
  <c r="D7" i="8"/>
  <c r="C7" i="8"/>
  <c r="B7" i="8"/>
  <c r="A7" i="8"/>
  <c r="F6" i="8"/>
  <c r="E6" i="8"/>
  <c r="D6" i="8"/>
  <c r="C6" i="8"/>
  <c r="B6" i="8"/>
  <c r="A6" i="8"/>
  <c r="F5" i="8"/>
  <c r="E5" i="8"/>
  <c r="D5" i="8"/>
  <c r="C5" i="8"/>
  <c r="B5" i="8"/>
  <c r="A5" i="8"/>
  <c r="F4" i="8"/>
  <c r="E4" i="8"/>
  <c r="D4" i="8"/>
  <c r="C4" i="8"/>
  <c r="B4" i="8"/>
  <c r="A4" i="8"/>
  <c r="F3" i="8"/>
  <c r="E3" i="8"/>
  <c r="D3" i="8"/>
  <c r="C3" i="8"/>
  <c r="B3" i="8"/>
  <c r="A3" i="8"/>
  <c r="F2" i="8"/>
  <c r="E2" i="8"/>
  <c r="D2" i="8"/>
  <c r="C2" i="8"/>
  <c r="B2" i="8"/>
  <c r="A2" i="8"/>
  <c r="F1" i="8"/>
  <c r="E1" i="8"/>
  <c r="D1" i="8"/>
  <c r="C1" i="8"/>
  <c r="B1" i="8"/>
  <c r="A1" i="8"/>
  <c r="F181" i="3"/>
  <c r="E181" i="3"/>
  <c r="F180" i="3"/>
  <c r="E180" i="3"/>
  <c r="F179" i="3"/>
  <c r="E179" i="3"/>
  <c r="F178" i="3"/>
  <c r="E178" i="3"/>
  <c r="F177" i="3"/>
  <c r="E177" i="3"/>
  <c r="F176" i="3"/>
  <c r="E176" i="3"/>
  <c r="F175" i="3"/>
  <c r="E175" i="3"/>
  <c r="F174" i="3"/>
  <c r="E174" i="3"/>
  <c r="F173" i="3"/>
  <c r="E173" i="3"/>
  <c r="F172" i="3"/>
  <c r="E172" i="3"/>
  <c r="F171" i="3"/>
  <c r="E171" i="3"/>
  <c r="F170" i="3"/>
  <c r="E170" i="3"/>
  <c r="F169" i="3"/>
  <c r="E169" i="3"/>
  <c r="F168" i="3"/>
  <c r="E168" i="3"/>
  <c r="F167" i="3"/>
  <c r="E167" i="3"/>
  <c r="F166" i="3"/>
  <c r="E166" i="3"/>
  <c r="F165" i="3"/>
  <c r="E165" i="3"/>
  <c r="F164" i="3"/>
  <c r="E164" i="3"/>
  <c r="F163" i="3"/>
  <c r="E163" i="3"/>
  <c r="F162" i="3"/>
  <c r="E162" i="3"/>
  <c r="F161" i="3"/>
  <c r="E161" i="3"/>
  <c r="F160" i="3"/>
  <c r="E160" i="3"/>
  <c r="F159" i="3"/>
  <c r="E159" i="3"/>
  <c r="F158" i="3"/>
  <c r="E158" i="3"/>
  <c r="F157" i="3"/>
  <c r="E157" i="3"/>
  <c r="F156" i="3"/>
  <c r="E156" i="3"/>
  <c r="F155" i="3"/>
  <c r="E155" i="3"/>
  <c r="F154" i="3"/>
  <c r="E154" i="3"/>
  <c r="F153" i="3"/>
  <c r="E153" i="3"/>
  <c r="F152" i="3"/>
  <c r="E152" i="3"/>
  <c r="F151" i="3"/>
  <c r="E151" i="3"/>
  <c r="F150" i="3"/>
  <c r="E150" i="3"/>
  <c r="F149" i="3"/>
  <c r="E149" i="3"/>
  <c r="F148" i="3"/>
  <c r="E148" i="3"/>
  <c r="F147" i="3"/>
  <c r="E147" i="3"/>
  <c r="F146" i="3"/>
  <c r="E146" i="3"/>
  <c r="F145" i="3"/>
  <c r="E145" i="3"/>
  <c r="F144" i="3"/>
  <c r="E144" i="3"/>
  <c r="F143" i="3"/>
  <c r="E143" i="3"/>
  <c r="F142" i="3"/>
  <c r="E142" i="3"/>
  <c r="F141" i="3"/>
  <c r="E141" i="3"/>
  <c r="F140" i="3"/>
  <c r="E140" i="3"/>
  <c r="F139" i="3"/>
  <c r="E139" i="3"/>
  <c r="F138" i="3"/>
  <c r="E138" i="3"/>
  <c r="F137" i="3"/>
  <c r="E137" i="3"/>
  <c r="F136" i="3"/>
  <c r="E136" i="3"/>
  <c r="F135" i="3"/>
  <c r="E135" i="3"/>
  <c r="F134" i="3"/>
  <c r="E134" i="3"/>
  <c r="F133" i="3"/>
  <c r="E133" i="3"/>
  <c r="F132" i="3"/>
  <c r="E132" i="3"/>
  <c r="F131" i="3"/>
  <c r="E131" i="3"/>
  <c r="F130" i="3"/>
  <c r="E130" i="3"/>
  <c r="F129" i="3"/>
  <c r="E129" i="3"/>
  <c r="F128" i="3"/>
  <c r="E128" i="3"/>
  <c r="F127" i="3"/>
  <c r="E127" i="3"/>
  <c r="F126" i="3"/>
  <c r="E126" i="3"/>
  <c r="F125" i="3"/>
  <c r="E125" i="3"/>
  <c r="F124" i="3"/>
  <c r="E124" i="3"/>
  <c r="F123" i="3"/>
  <c r="E123" i="3"/>
  <c r="F122" i="3"/>
  <c r="E122" i="3"/>
  <c r="F121" i="3"/>
  <c r="E121" i="3"/>
  <c r="F120" i="3"/>
  <c r="E120" i="3"/>
  <c r="F119" i="3"/>
  <c r="E119" i="3"/>
  <c r="F118" i="3"/>
  <c r="E118" i="3"/>
  <c r="F117" i="3"/>
  <c r="E117" i="3"/>
  <c r="F116" i="3"/>
  <c r="E116" i="3"/>
  <c r="F115" i="3"/>
  <c r="E115" i="3"/>
  <c r="F114" i="3"/>
  <c r="E114" i="3"/>
  <c r="F113" i="3"/>
  <c r="E113" i="3"/>
  <c r="F112" i="3"/>
  <c r="E112" i="3"/>
  <c r="F111" i="3"/>
  <c r="E111" i="3"/>
  <c r="F110" i="3"/>
  <c r="E110" i="3"/>
  <c r="F109" i="3"/>
  <c r="E109" i="3"/>
  <c r="F108" i="3"/>
  <c r="E108" i="3"/>
  <c r="F107" i="3"/>
  <c r="E107" i="3"/>
  <c r="F106" i="3"/>
  <c r="E106" i="3"/>
  <c r="F105" i="3"/>
  <c r="E105" i="3"/>
  <c r="F104" i="3"/>
  <c r="E104" i="3"/>
  <c r="F103" i="3"/>
  <c r="E103" i="3"/>
  <c r="F101" i="3"/>
  <c r="E101" i="3"/>
  <c r="F100" i="3"/>
  <c r="E100" i="3"/>
  <c r="F99" i="3"/>
  <c r="E99" i="3"/>
  <c r="F98" i="3"/>
  <c r="E98" i="3"/>
  <c r="F97" i="3"/>
  <c r="E97" i="3"/>
  <c r="F96" i="3"/>
  <c r="E96" i="3"/>
  <c r="F95" i="3"/>
  <c r="E95" i="3"/>
  <c r="F94" i="3"/>
  <c r="E94" i="3"/>
  <c r="F93" i="3"/>
  <c r="E93" i="3"/>
  <c r="F92" i="3"/>
  <c r="E92" i="3"/>
  <c r="F91" i="3"/>
  <c r="E91" i="3"/>
  <c r="F90" i="3"/>
  <c r="E90" i="3"/>
  <c r="F89" i="3"/>
  <c r="E89" i="3"/>
  <c r="F88" i="3"/>
  <c r="E88" i="3"/>
  <c r="F87" i="3"/>
  <c r="E87" i="3"/>
  <c r="F86" i="3"/>
  <c r="E86" i="3"/>
  <c r="F85" i="3"/>
  <c r="E85" i="3"/>
  <c r="F84" i="3"/>
  <c r="E84" i="3"/>
  <c r="F83" i="3"/>
  <c r="E83" i="3"/>
  <c r="F82" i="3"/>
  <c r="E82" i="3"/>
  <c r="F81" i="3"/>
  <c r="E81" i="3"/>
  <c r="F80" i="3"/>
  <c r="E80" i="3"/>
  <c r="F79" i="3"/>
  <c r="E79" i="3"/>
  <c r="F78" i="3"/>
  <c r="E78" i="3"/>
  <c r="F77" i="3"/>
  <c r="E77" i="3"/>
  <c r="F76" i="3"/>
  <c r="E76" i="3"/>
  <c r="F75" i="3"/>
  <c r="E75" i="3"/>
  <c r="F74" i="3"/>
  <c r="E74" i="3"/>
  <c r="F73" i="3"/>
  <c r="E73" i="3"/>
  <c r="F72" i="3"/>
  <c r="E72" i="3"/>
  <c r="F71" i="3"/>
  <c r="E71" i="3"/>
  <c r="F70" i="3"/>
  <c r="E70" i="3"/>
  <c r="F69" i="3"/>
  <c r="E69" i="3"/>
  <c r="F68" i="3"/>
  <c r="E68" i="3"/>
  <c r="F67" i="3"/>
  <c r="E67" i="3"/>
  <c r="F66" i="3"/>
  <c r="E66" i="3"/>
  <c r="F65" i="3"/>
  <c r="E65" i="3"/>
  <c r="F64" i="3"/>
  <c r="E64" i="3"/>
  <c r="F63" i="3"/>
  <c r="E63" i="3"/>
  <c r="F62" i="3"/>
  <c r="E62" i="3"/>
  <c r="F61" i="3"/>
  <c r="E61" i="3"/>
  <c r="F60" i="3"/>
  <c r="E60" i="3"/>
  <c r="F59" i="3"/>
  <c r="E59" i="3"/>
  <c r="F58" i="3"/>
  <c r="E58" i="3"/>
  <c r="F57" i="3"/>
  <c r="E57" i="3"/>
  <c r="F56" i="3"/>
  <c r="E56" i="3"/>
  <c r="F55" i="3"/>
  <c r="E55" i="3"/>
  <c r="F54" i="3"/>
  <c r="E54" i="3"/>
  <c r="F53" i="3"/>
  <c r="E53" i="3"/>
  <c r="F52" i="3"/>
  <c r="E52" i="3"/>
  <c r="F51" i="3"/>
  <c r="E51" i="3"/>
  <c r="F50" i="3"/>
  <c r="E50" i="3"/>
  <c r="F49" i="3"/>
  <c r="E49" i="3"/>
  <c r="F48" i="3"/>
  <c r="E48" i="3"/>
  <c r="F47" i="3"/>
  <c r="E47" i="3"/>
  <c r="F46" i="3"/>
  <c r="E46" i="3"/>
  <c r="F45" i="3"/>
  <c r="E45" i="3"/>
  <c r="F44" i="3"/>
  <c r="E44" i="3"/>
  <c r="F43" i="3"/>
  <c r="E43" i="3"/>
  <c r="F42" i="3"/>
  <c r="E42" i="3"/>
  <c r="F41" i="3"/>
  <c r="E41" i="3"/>
  <c r="F40" i="3"/>
  <c r="E40" i="3"/>
  <c r="F39" i="3"/>
  <c r="E39" i="3"/>
  <c r="F38" i="3"/>
  <c r="E38" i="3"/>
  <c r="F37" i="3"/>
  <c r="E37" i="3"/>
  <c r="F36" i="3"/>
  <c r="E36" i="3"/>
  <c r="F35" i="3"/>
  <c r="E35" i="3"/>
  <c r="F34" i="3"/>
  <c r="E34" i="3"/>
  <c r="F33" i="3"/>
  <c r="E33" i="3"/>
  <c r="F32" i="3"/>
  <c r="E32" i="3"/>
  <c r="F31" i="3"/>
  <c r="E31" i="3"/>
  <c r="F30" i="3"/>
  <c r="E30" i="3"/>
  <c r="F29" i="3"/>
  <c r="E29" i="3"/>
  <c r="F28" i="3"/>
  <c r="E28" i="3"/>
  <c r="F27" i="3"/>
  <c r="E27" i="3"/>
  <c r="F26" i="3"/>
  <c r="E26" i="3"/>
  <c r="F25" i="3"/>
  <c r="E25" i="3"/>
  <c r="F24" i="3"/>
  <c r="E24" i="3"/>
  <c r="F23" i="3"/>
  <c r="E23" i="3"/>
  <c r="F22" i="3"/>
  <c r="E22" i="3"/>
  <c r="F21" i="3"/>
  <c r="E21" i="3"/>
  <c r="F20" i="3"/>
  <c r="E20" i="3"/>
  <c r="F19" i="3"/>
  <c r="E19" i="3"/>
  <c r="F18" i="3"/>
  <c r="E18" i="3"/>
  <c r="F17" i="3"/>
  <c r="E17" i="3"/>
  <c r="F16" i="3"/>
  <c r="E16" i="3"/>
  <c r="F15" i="3"/>
  <c r="E15" i="3"/>
  <c r="F14" i="3"/>
  <c r="E14" i="3"/>
  <c r="F13" i="3"/>
  <c r="E13" i="3"/>
  <c r="F12" i="3"/>
  <c r="E12" i="3"/>
  <c r="F11" i="3"/>
  <c r="E11" i="3"/>
  <c r="F10" i="3"/>
  <c r="E10" i="3"/>
  <c r="F9" i="3"/>
  <c r="E9" i="3"/>
  <c r="F8" i="3"/>
  <c r="E8" i="3"/>
  <c r="F7" i="3"/>
  <c r="E7" i="3"/>
  <c r="F6" i="3"/>
  <c r="E6" i="3"/>
  <c r="F5" i="3"/>
  <c r="E5" i="3"/>
  <c r="F4" i="3"/>
  <c r="E4" i="3"/>
  <c r="F3" i="3"/>
  <c r="E3" i="3"/>
  <c r="F2" i="3"/>
  <c r="E2" i="3"/>
  <c r="K30" i="4"/>
  <c r="G28" i="8" l="1"/>
  <c r="G84" i="8"/>
  <c r="G407" i="8"/>
  <c r="G411" i="8"/>
  <c r="G415" i="8"/>
  <c r="G419" i="8"/>
  <c r="G423" i="8"/>
  <c r="G803" i="8"/>
  <c r="G821" i="8"/>
  <c r="G911" i="8"/>
  <c r="G1131" i="8"/>
  <c r="G1135" i="8"/>
  <c r="G1143" i="8"/>
  <c r="G1204" i="8"/>
  <c r="G1212" i="8"/>
  <c r="G1232" i="8"/>
  <c r="G1236" i="8"/>
  <c r="G1244" i="8"/>
  <c r="G36" i="8"/>
  <c r="G590" i="8"/>
  <c r="G594" i="8"/>
  <c r="G596" i="8"/>
  <c r="G686" i="8"/>
  <c r="G718" i="8"/>
  <c r="G807" i="8"/>
  <c r="G827" i="8"/>
  <c r="G835" i="8"/>
  <c r="G905" i="8"/>
  <c r="G909" i="8"/>
  <c r="G1072" i="8"/>
  <c r="G128" i="8"/>
  <c r="G130" i="8"/>
  <c r="G136" i="8"/>
  <c r="G138" i="8"/>
  <c r="G142" i="8"/>
  <c r="G152" i="8"/>
  <c r="G154" i="8"/>
  <c r="G158" i="8"/>
  <c r="G166" i="8"/>
  <c r="G206" i="8"/>
  <c r="G264" i="8"/>
  <c r="G266" i="8"/>
  <c r="G334" i="8"/>
  <c r="G1078" i="8"/>
  <c r="G1080" i="8"/>
  <c r="G1084" i="8"/>
  <c r="G1152" i="8"/>
  <c r="G1168" i="8"/>
  <c r="G1170" i="8"/>
  <c r="G1174" i="8"/>
  <c r="G24" i="8"/>
  <c r="G122" i="8"/>
  <c r="G427" i="8"/>
  <c r="G433" i="8"/>
  <c r="G524" i="8"/>
  <c r="G538" i="8"/>
  <c r="G662" i="8"/>
  <c r="G730" i="8"/>
  <c r="G793" i="8"/>
  <c r="G795" i="8"/>
  <c r="G801" i="8"/>
  <c r="G825" i="8"/>
  <c r="G875" i="8"/>
  <c r="G45" i="8"/>
  <c r="G47" i="8"/>
  <c r="G49" i="8"/>
  <c r="G51" i="8"/>
  <c r="G93" i="8"/>
  <c r="G95" i="8"/>
  <c r="G97" i="8"/>
  <c r="G99" i="8"/>
  <c r="G111" i="8"/>
  <c r="G113" i="8"/>
  <c r="G115" i="8"/>
  <c r="G117" i="8"/>
  <c r="G119" i="8"/>
  <c r="G121" i="8"/>
  <c r="G203" i="8"/>
  <c r="G267" i="8"/>
  <c r="G331" i="8"/>
  <c r="G339" i="8"/>
  <c r="G347" i="8"/>
  <c r="G355" i="8"/>
  <c r="G363" i="8"/>
  <c r="G466" i="8"/>
  <c r="G559" i="8"/>
  <c r="G572" i="8"/>
  <c r="G576" i="8"/>
  <c r="G926" i="8"/>
  <c r="G953" i="8"/>
  <c r="G955" i="8"/>
  <c r="G961" i="8"/>
  <c r="G963" i="8"/>
  <c r="G970" i="8"/>
  <c r="G977" i="8"/>
  <c r="G1018" i="8"/>
  <c r="G1026" i="8"/>
  <c r="G1028" i="8"/>
  <c r="G1032" i="8"/>
  <c r="G1048" i="8"/>
  <c r="G336" i="8"/>
  <c r="G338" i="8"/>
  <c r="G344" i="8"/>
  <c r="G346" i="8"/>
  <c r="G352" i="8"/>
  <c r="G354" i="8"/>
  <c r="G358" i="8"/>
  <c r="G366" i="8"/>
  <c r="G408" i="8"/>
  <c r="G410" i="8"/>
  <c r="G412" i="8"/>
  <c r="G414" i="8"/>
  <c r="G416" i="8"/>
  <c r="G420" i="8"/>
  <c r="G422" i="8"/>
  <c r="G465" i="8"/>
  <c r="G482" i="8"/>
  <c r="G484" i="8"/>
  <c r="G489" i="8"/>
  <c r="G493" i="8"/>
  <c r="G513" i="8"/>
  <c r="G523" i="8"/>
  <c r="G525" i="8"/>
  <c r="G812" i="8"/>
  <c r="G913" i="8"/>
  <c r="G915" i="8"/>
  <c r="G919" i="8"/>
  <c r="G923" i="8"/>
  <c r="G935" i="8"/>
  <c r="G939" i="8"/>
  <c r="G943" i="8"/>
  <c r="G958" i="8"/>
  <c r="G1015" i="8"/>
  <c r="G1017" i="8"/>
  <c r="G1019" i="8"/>
  <c r="G1025" i="8"/>
  <c r="G1027" i="8"/>
  <c r="G1050" i="8"/>
  <c r="G1063" i="8"/>
  <c r="G1077" i="8"/>
  <c r="G1079" i="8"/>
  <c r="G1087" i="8"/>
  <c r="G1142" i="8"/>
  <c r="G1167" i="8"/>
  <c r="G1207" i="8"/>
  <c r="G1209" i="8"/>
  <c r="G1213" i="8"/>
  <c r="G1221" i="8"/>
  <c r="G1245" i="8"/>
  <c r="G1269" i="8"/>
  <c r="G1328" i="8"/>
  <c r="G1330" i="8"/>
  <c r="G1343" i="8"/>
  <c r="G1346" i="8"/>
  <c r="G1360" i="8"/>
  <c r="G1369" i="8"/>
  <c r="G1371" i="8"/>
  <c r="G1375" i="8"/>
  <c r="G1379" i="8"/>
  <c r="G1387" i="8"/>
  <c r="G1443" i="8"/>
  <c r="G1471" i="8"/>
  <c r="G1537" i="8"/>
  <c r="G1541" i="8"/>
  <c r="G1815" i="8"/>
  <c r="G1822" i="8"/>
  <c r="G1828" i="8"/>
  <c r="G1842" i="8"/>
  <c r="G1906" i="8"/>
  <c r="G1931" i="8"/>
  <c r="G1945" i="8"/>
  <c r="G1949" i="8"/>
  <c r="G1953" i="8"/>
  <c r="G1959" i="8"/>
  <c r="G1961" i="8"/>
  <c r="G1969" i="8"/>
  <c r="G2224" i="8"/>
  <c r="G1302" i="8"/>
  <c r="G1308" i="8"/>
  <c r="G1386" i="8"/>
  <c r="G1466" i="8"/>
  <c r="G1470" i="8"/>
  <c r="G1528" i="8"/>
  <c r="G1530" i="8"/>
  <c r="G1540" i="8"/>
  <c r="G1542" i="8"/>
  <c r="G1546" i="8"/>
  <c r="G1694" i="8"/>
  <c r="G1702" i="8"/>
  <c r="G1733" i="8"/>
  <c r="G1772" i="8"/>
  <c r="G1825" i="8"/>
  <c r="G1829" i="8"/>
  <c r="G1835" i="8"/>
  <c r="G1887" i="8"/>
  <c r="G1889" i="8"/>
  <c r="G1907" i="8"/>
  <c r="G1911" i="8"/>
  <c r="G1915" i="8"/>
  <c r="G1934" i="8"/>
  <c r="G1938" i="8"/>
  <c r="G1956" i="8"/>
  <c r="G1962" i="8"/>
  <c r="G2114" i="8"/>
  <c r="G2116" i="8"/>
  <c r="G2128" i="8"/>
  <c r="G2175" i="8"/>
  <c r="G2191" i="8"/>
  <c r="G2214" i="8"/>
  <c r="G7" i="8"/>
  <c r="G15" i="8"/>
  <c r="G40" i="8"/>
  <c r="G64" i="8"/>
  <c r="G72" i="8"/>
  <c r="G168" i="8"/>
  <c r="G170" i="8"/>
  <c r="G186" i="8"/>
  <c r="G192" i="8"/>
  <c r="G194" i="8"/>
  <c r="G200" i="8"/>
  <c r="G202" i="8"/>
  <c r="G273" i="8"/>
  <c r="G281" i="8"/>
  <c r="G289" i="8"/>
  <c r="G297" i="8"/>
  <c r="G313" i="8"/>
  <c r="G321" i="8"/>
  <c r="G468" i="8"/>
  <c r="G480" i="8"/>
  <c r="G517" i="8"/>
  <c r="G534" i="8"/>
  <c r="G567" i="8"/>
  <c r="G571" i="8"/>
  <c r="G579" i="8"/>
  <c r="G583" i="8"/>
  <c r="G587" i="8"/>
  <c r="G606" i="8"/>
  <c r="G608" i="8"/>
  <c r="G630" i="8"/>
  <c r="G663" i="8"/>
  <c r="G690" i="8"/>
  <c r="G723" i="8"/>
  <c r="G729" i="8"/>
  <c r="G731" i="8"/>
  <c r="G762" i="8"/>
  <c r="G837" i="8"/>
  <c r="G841" i="8"/>
  <c r="G843" i="8"/>
  <c r="G851" i="8"/>
  <c r="G869" i="8"/>
  <c r="G873" i="8"/>
  <c r="G910" i="8"/>
  <c r="G925" i="8"/>
  <c r="G931" i="8"/>
  <c r="G965" i="8"/>
  <c r="G992" i="8"/>
  <c r="G1023" i="8"/>
  <c r="G1237" i="8"/>
  <c r="G13" i="8"/>
  <c r="G18" i="8"/>
  <c r="G88" i="8"/>
  <c r="G92" i="8"/>
  <c r="G100" i="8"/>
  <c r="G108" i="8"/>
  <c r="G110" i="8"/>
  <c r="G120" i="8"/>
  <c r="G127" i="8"/>
  <c r="G129" i="8"/>
  <c r="G135" i="8"/>
  <c r="G137" i="8"/>
  <c r="G143" i="8"/>
  <c r="G145" i="8"/>
  <c r="G208" i="8"/>
  <c r="G210" i="8"/>
  <c r="G214" i="8"/>
  <c r="G240" i="8"/>
  <c r="G242" i="8"/>
  <c r="G248" i="8"/>
  <c r="G250" i="8"/>
  <c r="G256" i="8"/>
  <c r="G258" i="8"/>
  <c r="G369" i="8"/>
  <c r="G377" i="8"/>
  <c r="G385" i="8"/>
  <c r="G406" i="8"/>
  <c r="G432" i="8"/>
  <c r="G434" i="8"/>
  <c r="G449" i="8"/>
  <c r="G453" i="8"/>
  <c r="G461" i="8"/>
  <c r="G472" i="8"/>
  <c r="G487" i="8"/>
  <c r="G490" i="8"/>
  <c r="G498" i="8"/>
  <c r="G502" i="8"/>
  <c r="G506" i="8"/>
  <c r="G549" i="8"/>
  <c r="G551" i="8"/>
  <c r="G595" i="8"/>
  <c r="G615" i="8"/>
  <c r="G619" i="8"/>
  <c r="G669" i="8"/>
  <c r="G737" i="8"/>
  <c r="G739" i="8"/>
  <c r="G745" i="8"/>
  <c r="G747" i="8"/>
  <c r="G753" i="8"/>
  <c r="G755" i="8"/>
  <c r="G775" i="8"/>
  <c r="G783" i="8"/>
  <c r="G794" i="8"/>
  <c r="G802" i="8"/>
  <c r="G822" i="8"/>
  <c r="G826" i="8"/>
  <c r="G877" i="8"/>
  <c r="G881" i="8"/>
  <c r="G883" i="8"/>
  <c r="G945" i="8"/>
  <c r="G947" i="8"/>
  <c r="G962" i="8"/>
  <c r="G966" i="8"/>
  <c r="G972" i="8"/>
  <c r="G1024" i="8"/>
  <c r="G1157" i="8"/>
  <c r="G5" i="8"/>
  <c r="G76" i="8"/>
  <c r="G53" i="8"/>
  <c r="G55" i="8"/>
  <c r="G61" i="8"/>
  <c r="G63" i="8"/>
  <c r="G69" i="8"/>
  <c r="G71" i="8"/>
  <c r="G124" i="8"/>
  <c r="G150" i="8"/>
  <c r="G175" i="8"/>
  <c r="G177" i="8"/>
  <c r="G179" i="8"/>
  <c r="G181" i="8"/>
  <c r="G183" i="8"/>
  <c r="G185" i="8"/>
  <c r="G211" i="8"/>
  <c r="G243" i="8"/>
  <c r="G251" i="8"/>
  <c r="G259" i="8"/>
  <c r="G270" i="8"/>
  <c r="G294" i="8"/>
  <c r="G304" i="8"/>
  <c r="G306" i="8"/>
  <c r="G312" i="8"/>
  <c r="G314" i="8"/>
  <c r="G320" i="8"/>
  <c r="G322" i="8"/>
  <c r="G326" i="8"/>
  <c r="G374" i="8"/>
  <c r="G382" i="8"/>
  <c r="G440" i="8"/>
  <c r="G442" i="8"/>
  <c r="G477" i="8"/>
  <c r="G481" i="8"/>
  <c r="G491" i="8"/>
  <c r="G495" i="8"/>
  <c r="G499" i="8"/>
  <c r="G501" i="8"/>
  <c r="G518" i="8"/>
  <c r="G533" i="8"/>
  <c r="G554" i="8"/>
  <c r="G566" i="8"/>
  <c r="G568" i="8"/>
  <c r="G578" i="8"/>
  <c r="G582" i="8"/>
  <c r="G584" i="8"/>
  <c r="G614" i="8"/>
  <c r="G620" i="8"/>
  <c r="G668" i="8"/>
  <c r="G670" i="8"/>
  <c r="G672" i="8"/>
  <c r="G674" i="8"/>
  <c r="G740" i="8"/>
  <c r="G748" i="8"/>
  <c r="G756" i="8"/>
  <c r="G815" i="8"/>
  <c r="G819" i="8"/>
  <c r="G831" i="8"/>
  <c r="G1047" i="8"/>
  <c r="G1067" i="8"/>
  <c r="G1071" i="8"/>
  <c r="G1094" i="8"/>
  <c r="G1096" i="8"/>
  <c r="G1100" i="8"/>
  <c r="G1104" i="8"/>
  <c r="G1108" i="8"/>
  <c r="G1112" i="8"/>
  <c r="G1116" i="8"/>
  <c r="G1176" i="8"/>
  <c r="G1182" i="8"/>
  <c r="G1190" i="8"/>
  <c r="G1271" i="8"/>
  <c r="G1273" i="8"/>
  <c r="G1296" i="8"/>
  <c r="G1300" i="8"/>
  <c r="G1310" i="8"/>
  <c r="G1317" i="8"/>
  <c r="G1327" i="8"/>
  <c r="G1329" i="8"/>
  <c r="G1368" i="8"/>
  <c r="G1389" i="8"/>
  <c r="G1391" i="8"/>
  <c r="G1476" i="8"/>
  <c r="G1492" i="8"/>
  <c r="G1496" i="8"/>
  <c r="G1591" i="8"/>
  <c r="G1609" i="8"/>
  <c r="G1611" i="8"/>
  <c r="G1617" i="8"/>
  <c r="G1629" i="8"/>
  <c r="G1631" i="8"/>
  <c r="G1637" i="8"/>
  <c r="G1657" i="8"/>
  <c r="G1681" i="8"/>
  <c r="G1689" i="8"/>
  <c r="G1691" i="8"/>
  <c r="G1697" i="8"/>
  <c r="G1703" i="8"/>
  <c r="G1705" i="8"/>
  <c r="G1707" i="8"/>
  <c r="G1711" i="8"/>
  <c r="G1734" i="8"/>
  <c r="G1740" i="8"/>
  <c r="G1775" i="8"/>
  <c r="G1791" i="8"/>
  <c r="G1810" i="8"/>
  <c r="G1851" i="8"/>
  <c r="G1886" i="8"/>
  <c r="G1892" i="8"/>
  <c r="G1894" i="8"/>
  <c r="G1896" i="8"/>
  <c r="G1898" i="8"/>
  <c r="G1966" i="8"/>
  <c r="G1973" i="8"/>
  <c r="G1975" i="8"/>
  <c r="G1977" i="8"/>
  <c r="G1989" i="8"/>
  <c r="G1991" i="8"/>
  <c r="G2001" i="8"/>
  <c r="G2090" i="8"/>
  <c r="G2094" i="8"/>
  <c r="G2100" i="8"/>
  <c r="G2120" i="8"/>
  <c r="G2122" i="8"/>
  <c r="G2194" i="8"/>
  <c r="G2200" i="8"/>
  <c r="G2217" i="8"/>
  <c r="G2220" i="8"/>
  <c r="G2250" i="8"/>
  <c r="G2258" i="8"/>
  <c r="G2260" i="8"/>
  <c r="G2262" i="8"/>
  <c r="G2300" i="8"/>
  <c r="G2306" i="8"/>
  <c r="G975" i="8"/>
  <c r="G994" i="8"/>
  <c r="G996" i="8"/>
  <c r="G1000" i="8"/>
  <c r="G1034" i="8"/>
  <c r="G1036" i="8"/>
  <c r="G1040" i="8"/>
  <c r="G1056" i="8"/>
  <c r="G1060" i="8"/>
  <c r="G1083" i="8"/>
  <c r="G1101" i="8"/>
  <c r="G1103" i="8"/>
  <c r="G1109" i="8"/>
  <c r="G1111" i="8"/>
  <c r="G1136" i="8"/>
  <c r="G1147" i="8"/>
  <c r="G1161" i="8"/>
  <c r="G1165" i="8"/>
  <c r="G1183" i="8"/>
  <c r="G1191" i="8"/>
  <c r="G1239" i="8"/>
  <c r="G1241" i="8"/>
  <c r="G1264" i="8"/>
  <c r="G1268" i="8"/>
  <c r="G1270" i="8"/>
  <c r="G1692" i="8"/>
  <c r="G2155" i="8"/>
  <c r="G2159" i="8"/>
  <c r="G2171" i="8"/>
  <c r="G2227" i="8"/>
  <c r="G967" i="8"/>
  <c r="G969" i="8"/>
  <c r="G991" i="8"/>
  <c r="G993" i="8"/>
  <c r="G995" i="8"/>
  <c r="G999" i="8"/>
  <c r="G1012" i="8"/>
  <c r="G1119" i="8"/>
  <c r="G1154" i="8"/>
  <c r="G1166" i="8"/>
  <c r="G1238" i="8"/>
  <c r="G1253" i="8"/>
  <c r="G1278" i="8"/>
  <c r="G1286" i="8"/>
  <c r="G1351" i="8"/>
  <c r="G1363" i="8"/>
  <c r="G1400" i="8"/>
  <c r="G1415" i="8"/>
  <c r="G1440" i="8"/>
  <c r="G1444" i="8"/>
  <c r="G1495" i="8"/>
  <c r="G1499" i="8"/>
  <c r="G1517" i="8"/>
  <c r="G1521" i="8"/>
  <c r="G1543" i="8"/>
  <c r="G1548" i="8"/>
  <c r="G1550" i="8"/>
  <c r="G1556" i="8"/>
  <c r="G1558" i="8"/>
  <c r="G1574" i="8"/>
  <c r="G1628" i="8"/>
  <c r="G1644" i="8"/>
  <c r="G1664" i="8"/>
  <c r="G1668" i="8"/>
  <c r="G1776" i="8"/>
  <c r="G1782" i="8"/>
  <c r="G1881" i="8"/>
  <c r="G1883" i="8"/>
  <c r="G1901" i="8"/>
  <c r="G1903" i="8"/>
  <c r="G1939" i="8"/>
  <c r="G1941" i="8"/>
  <c r="G1972" i="8"/>
  <c r="G1978" i="8"/>
  <c r="G1994" i="8"/>
  <c r="G2000" i="8"/>
  <c r="G2034" i="8"/>
  <c r="G2038" i="8"/>
  <c r="G2046" i="8"/>
  <c r="G2082" i="8"/>
  <c r="G2097" i="8"/>
  <c r="G2125" i="8"/>
  <c r="G2216" i="8"/>
  <c r="G2245" i="8"/>
  <c r="G2247" i="8"/>
  <c r="G2265" i="8"/>
  <c r="G2299" i="8"/>
  <c r="G2303" i="8"/>
  <c r="G2" i="8"/>
  <c r="G4" i="8"/>
  <c r="G10" i="8"/>
  <c r="G29" i="8"/>
  <c r="G31" i="8"/>
  <c r="G33" i="8"/>
  <c r="G35" i="8"/>
  <c r="G44" i="8"/>
  <c r="G56" i="8"/>
  <c r="G159" i="8"/>
  <c r="G161" i="8"/>
  <c r="G163" i="8"/>
  <c r="G230" i="8"/>
  <c r="G134" i="8"/>
  <c r="G80" i="8"/>
  <c r="G90" i="8"/>
  <c r="G94" i="8"/>
  <c r="G98" i="8"/>
  <c r="G165" i="8"/>
  <c r="G172" i="8"/>
  <c r="G174" i="8"/>
  <c r="G184" i="8"/>
  <c r="G191" i="8"/>
  <c r="G193" i="8"/>
  <c r="G201" i="8"/>
  <c r="G216" i="8"/>
  <c r="G218" i="8"/>
  <c r="G222" i="8"/>
  <c r="G241" i="8"/>
  <c r="G249" i="8"/>
  <c r="G257" i="8"/>
  <c r="G272" i="8"/>
  <c r="G274" i="8"/>
  <c r="G280" i="8"/>
  <c r="G282" i="8"/>
  <c r="G288" i="8"/>
  <c r="G290" i="8"/>
  <c r="G305" i="8"/>
  <c r="G329" i="8"/>
  <c r="G360" i="8"/>
  <c r="G362" i="8"/>
  <c r="G395" i="8"/>
  <c r="G399" i="8"/>
  <c r="G418" i="8"/>
  <c r="G508" i="8"/>
  <c r="G521" i="8"/>
  <c r="G546" i="8"/>
  <c r="G555" i="8"/>
  <c r="G611" i="8"/>
  <c r="G621" i="8"/>
  <c r="G634" i="8"/>
  <c r="G653" i="8"/>
  <c r="G666" i="8"/>
  <c r="G675" i="8"/>
  <c r="G679" i="8"/>
  <c r="G683" i="8"/>
  <c r="G702" i="8"/>
  <c r="G830" i="8"/>
  <c r="G834" i="8"/>
  <c r="G845" i="8"/>
  <c r="G849" i="8"/>
  <c r="G870" i="8"/>
  <c r="G874" i="8"/>
  <c r="G885" i="8"/>
  <c r="G889" i="8"/>
  <c r="G891" i="8"/>
  <c r="G929" i="8"/>
  <c r="G946" i="8"/>
  <c r="G950" i="8"/>
  <c r="G986" i="8"/>
  <c r="G1031" i="8"/>
  <c r="G1062" i="8"/>
  <c r="G1075" i="8"/>
  <c r="G1120" i="8"/>
  <c r="G1124" i="8"/>
  <c r="G1319" i="8"/>
  <c r="G1321" i="8"/>
  <c r="G1354" i="8"/>
  <c r="G1362" i="8"/>
  <c r="G1508" i="8"/>
  <c r="G1510" i="8"/>
  <c r="G1514" i="8"/>
  <c r="G1581" i="8"/>
  <c r="G1585" i="8"/>
  <c r="G16" i="8"/>
  <c r="G26" i="8"/>
  <c r="G30" i="8"/>
  <c r="G34" i="8"/>
  <c r="G66" i="8"/>
  <c r="G68" i="8"/>
  <c r="G74" i="8"/>
  <c r="G77" i="8"/>
  <c r="G79" i="8"/>
  <c r="G104" i="8"/>
  <c r="G118" i="8"/>
  <c r="G144" i="8"/>
  <c r="G146" i="8"/>
  <c r="G188" i="8"/>
  <c r="G198" i="8"/>
  <c r="G209" i="8"/>
  <c r="G215" i="8"/>
  <c r="G219" i="8"/>
  <c r="G232" i="8"/>
  <c r="G234" i="8"/>
  <c r="G246" i="8"/>
  <c r="G254" i="8"/>
  <c r="G265" i="8"/>
  <c r="G275" i="8"/>
  <c r="G283" i="8"/>
  <c r="G291" i="8"/>
  <c r="G296" i="8"/>
  <c r="G298" i="8"/>
  <c r="G310" i="8"/>
  <c r="G318" i="8"/>
  <c r="G337" i="8"/>
  <c r="G345" i="8"/>
  <c r="G353" i="8"/>
  <c r="G368" i="8"/>
  <c r="G370" i="8"/>
  <c r="G376" i="8"/>
  <c r="G378" i="8"/>
  <c r="G384" i="8"/>
  <c r="G386" i="8"/>
  <c r="G390" i="8"/>
  <c r="G474" i="8"/>
  <c r="G497" i="8"/>
  <c r="G556" i="8"/>
  <c r="G574" i="8"/>
  <c r="G580" i="8"/>
  <c r="G589" i="8"/>
  <c r="G598" i="8"/>
  <c r="G600" i="8"/>
  <c r="G604" i="8"/>
  <c r="G618" i="8"/>
  <c r="G627" i="8"/>
  <c r="G642" i="8"/>
  <c r="G720" i="8"/>
  <c r="G743" i="8"/>
  <c r="G751" i="8"/>
  <c r="G770" i="8"/>
  <c r="G778" i="8"/>
  <c r="G786" i="8"/>
  <c r="G796" i="8"/>
  <c r="G804" i="8"/>
  <c r="G809" i="8"/>
  <c r="G811" i="8"/>
  <c r="G817" i="8"/>
  <c r="G823" i="8"/>
  <c r="G838" i="8"/>
  <c r="G842" i="8"/>
  <c r="G853" i="8"/>
  <c r="G857" i="8"/>
  <c r="G859" i="8"/>
  <c r="G933" i="8"/>
  <c r="G971" i="8"/>
  <c r="G979" i="8"/>
  <c r="G1052" i="8"/>
  <c r="G1055" i="8"/>
  <c r="G1093" i="8"/>
  <c r="G1169" i="8"/>
  <c r="G1173" i="8"/>
  <c r="G1192" i="8"/>
  <c r="G1194" i="8"/>
  <c r="G1198" i="8"/>
  <c r="G1223" i="8"/>
  <c r="G1225" i="8"/>
  <c r="G1255" i="8"/>
  <c r="G1257" i="8"/>
  <c r="G1287" i="8"/>
  <c r="G1289" i="8"/>
  <c r="G235" i="8"/>
  <c r="G299" i="8"/>
  <c r="G404" i="8"/>
  <c r="G435" i="8"/>
  <c r="G458" i="8"/>
  <c r="G467" i="8"/>
  <c r="G515" i="8"/>
  <c r="G531" i="8"/>
  <c r="G656" i="8"/>
  <c r="G658" i="8"/>
  <c r="G660" i="8"/>
  <c r="G688" i="8"/>
  <c r="G724" i="8"/>
  <c r="G726" i="8"/>
  <c r="G728" i="8"/>
  <c r="G732" i="8"/>
  <c r="G879" i="8"/>
  <c r="G904" i="8"/>
  <c r="G1133" i="8"/>
  <c r="G307" i="8"/>
  <c r="G315" i="8"/>
  <c r="G323" i="8"/>
  <c r="G328" i="8"/>
  <c r="G330" i="8"/>
  <c r="G342" i="8"/>
  <c r="G350" i="8"/>
  <c r="G361" i="8"/>
  <c r="G371" i="8"/>
  <c r="G379" i="8"/>
  <c r="G387" i="8"/>
  <c r="G394" i="8"/>
  <c r="G396" i="8"/>
  <c r="G398" i="8"/>
  <c r="G400" i="8"/>
  <c r="G403" i="8"/>
  <c r="G424" i="8"/>
  <c r="G426" i="8"/>
  <c r="G428" i="8"/>
  <c r="G430" i="8"/>
  <c r="G441" i="8"/>
  <c r="G455" i="8"/>
  <c r="G473" i="8"/>
  <c r="G476" i="8"/>
  <c r="G483" i="8"/>
  <c r="G492" i="8"/>
  <c r="G505" i="8"/>
  <c r="G507" i="8"/>
  <c r="G509" i="8"/>
  <c r="G511" i="8"/>
  <c r="G514" i="8"/>
  <c r="G527" i="8"/>
  <c r="G530" i="8"/>
  <c r="G536" i="8"/>
  <c r="G540" i="8"/>
  <c r="G542" i="8"/>
  <c r="G550" i="8"/>
  <c r="G557" i="8"/>
  <c r="G592" i="8"/>
  <c r="G599" i="8"/>
  <c r="G605" i="8"/>
  <c r="G610" i="8"/>
  <c r="G624" i="8"/>
  <c r="G626" i="8"/>
  <c r="G628" i="8"/>
  <c r="G631" i="8"/>
  <c r="G650" i="8"/>
  <c r="G652" i="8"/>
  <c r="G659" i="8"/>
  <c r="G676" i="8"/>
  <c r="G678" i="8"/>
  <c r="G680" i="8"/>
  <c r="G682" i="8"/>
  <c r="G684" i="8"/>
  <c r="G687" i="8"/>
  <c r="G708" i="8"/>
  <c r="G710" i="8"/>
  <c r="G712" i="8"/>
  <c r="G714" i="8"/>
  <c r="G716" i="8"/>
  <c r="G719" i="8"/>
  <c r="G738" i="8"/>
  <c r="G746" i="8"/>
  <c r="G754" i="8"/>
  <c r="G764" i="8"/>
  <c r="G769" i="8"/>
  <c r="G771" i="8"/>
  <c r="G777" i="8"/>
  <c r="G779" i="8"/>
  <c r="G785" i="8"/>
  <c r="G787" i="8"/>
  <c r="G799" i="8"/>
  <c r="G810" i="8"/>
  <c r="G818" i="8"/>
  <c r="G829" i="8"/>
  <c r="G833" i="8"/>
  <c r="G839" i="8"/>
  <c r="G846" i="8"/>
  <c r="G850" i="8"/>
  <c r="G861" i="8"/>
  <c r="G865" i="8"/>
  <c r="G871" i="8"/>
  <c r="G878" i="8"/>
  <c r="G882" i="8"/>
  <c r="G893" i="8"/>
  <c r="G897" i="8"/>
  <c r="G899" i="8"/>
  <c r="G903" i="8"/>
  <c r="G907" i="8"/>
  <c r="G914" i="8"/>
  <c r="G921" i="8"/>
  <c r="G930" i="8"/>
  <c r="G937" i="8"/>
  <c r="G941" i="8"/>
  <c r="G952" i="8"/>
  <c r="G957" i="8"/>
  <c r="G959" i="8"/>
  <c r="G983" i="8"/>
  <c r="G985" i="8"/>
  <c r="G1002" i="8"/>
  <c r="G1004" i="8"/>
  <c r="G1008" i="8"/>
  <c r="G1033" i="8"/>
  <c r="G1035" i="8"/>
  <c r="G1037" i="8"/>
  <c r="G1042" i="8"/>
  <c r="G1059" i="8"/>
  <c r="G1061" i="8"/>
  <c r="G1064" i="8"/>
  <c r="G1117" i="8"/>
  <c r="G1126" i="8"/>
  <c r="G1139" i="8"/>
  <c r="G1144" i="8"/>
  <c r="G1148" i="8"/>
  <c r="G1158" i="8"/>
  <c r="G1185" i="8"/>
  <c r="G1189" i="8"/>
  <c r="G1216" i="8"/>
  <c r="G1220" i="8"/>
  <c r="G1229" i="8"/>
  <c r="G1248" i="8"/>
  <c r="G1252" i="8"/>
  <c r="G1261" i="8"/>
  <c r="G1280" i="8"/>
  <c r="G1284" i="8"/>
  <c r="G1293" i="8"/>
  <c r="G1402" i="8"/>
  <c r="G1406" i="8"/>
  <c r="G1410" i="8"/>
  <c r="G1417" i="8"/>
  <c r="G1419" i="8"/>
  <c r="G1424" i="8"/>
  <c r="G1434" i="8"/>
  <c r="G1438" i="8"/>
  <c r="G1445" i="8"/>
  <c r="G1447" i="8"/>
  <c r="G1451" i="8"/>
  <c r="G1455" i="8"/>
  <c r="G1459" i="8"/>
  <c r="G1494" i="8"/>
  <c r="G1523" i="8"/>
  <c r="G1001" i="8"/>
  <c r="G1003" i="8"/>
  <c r="G1005" i="8"/>
  <c r="G1007" i="8"/>
  <c r="G1009" i="8"/>
  <c r="G1041" i="8"/>
  <c r="G1069" i="8"/>
  <c r="G1159" i="8"/>
  <c r="G1230" i="8"/>
  <c r="G1262" i="8"/>
  <c r="G1294" i="8"/>
  <c r="G1303" i="8"/>
  <c r="G1305" i="8"/>
  <c r="G1318" i="8"/>
  <c r="G1355" i="8"/>
  <c r="G1359" i="8"/>
  <c r="G1460" i="8"/>
  <c r="G1178" i="8"/>
  <c r="G1200" i="8"/>
  <c r="G1325" i="8"/>
  <c r="G1334" i="8"/>
  <c r="G1338" i="8"/>
  <c r="G1348" i="8"/>
  <c r="G1357" i="8"/>
  <c r="G1366" i="8"/>
  <c r="G1381" i="8"/>
  <c r="G1383" i="8"/>
  <c r="G1395" i="8"/>
  <c r="G1512" i="8"/>
  <c r="G1560" i="8"/>
  <c r="G1562" i="8"/>
  <c r="G1572" i="8"/>
  <c r="G1068" i="8"/>
  <c r="G1085" i="8"/>
  <c r="G1088" i="8"/>
  <c r="G1099" i="8"/>
  <c r="G1110" i="8"/>
  <c r="G1123" i="8"/>
  <c r="G1125" i="8"/>
  <c r="G1128" i="8"/>
  <c r="G1132" i="8"/>
  <c r="G1149" i="8"/>
  <c r="G1153" i="8"/>
  <c r="G1160" i="8"/>
  <c r="G1162" i="8"/>
  <c r="G1175" i="8"/>
  <c r="G1184" i="8"/>
  <c r="G1186" i="8"/>
  <c r="G1193" i="8"/>
  <c r="G1197" i="8"/>
  <c r="G1199" i="8"/>
  <c r="G1215" i="8"/>
  <c r="G1217" i="8"/>
  <c r="G1231" i="8"/>
  <c r="G1233" i="8"/>
  <c r="G1247" i="8"/>
  <c r="G1249" i="8"/>
  <c r="G1263" i="8"/>
  <c r="G1265" i="8"/>
  <c r="G1279" i="8"/>
  <c r="G1281" i="8"/>
  <c r="G1295" i="8"/>
  <c r="G1297" i="8"/>
  <c r="G1356" i="8"/>
  <c r="G1361" i="8"/>
  <c r="G1374" i="8"/>
  <c r="G1378" i="8"/>
  <c r="G1380" i="8"/>
  <c r="G1403" i="8"/>
  <c r="G1422" i="8"/>
  <c r="G1429" i="8"/>
  <c r="G1431" i="8"/>
  <c r="G1450" i="8"/>
  <c r="G1454" i="8"/>
  <c r="G1456" i="8"/>
  <c r="G1461" i="8"/>
  <c r="G1463" i="8"/>
  <c r="G1482" i="8"/>
  <c r="G1486" i="8"/>
  <c r="G1488" i="8"/>
  <c r="G1497" i="8"/>
  <c r="G1505" i="8"/>
  <c r="G1509" i="8"/>
  <c r="G1511" i="8"/>
  <c r="G1516" i="8"/>
  <c r="G1518" i="8"/>
  <c r="G1524" i="8"/>
  <c r="G1538" i="8"/>
  <c r="G1549" i="8"/>
  <c r="G1553" i="8"/>
  <c r="G1576" i="8"/>
  <c r="G1578" i="8"/>
  <c r="G1612" i="8"/>
  <c r="G1639" i="8"/>
  <c r="G1643" i="8"/>
  <c r="G1645" i="8"/>
  <c r="G1647" i="8"/>
  <c r="G1649" i="8"/>
  <c r="G1656" i="8"/>
  <c r="G1658" i="8"/>
  <c r="G1660" i="8"/>
  <c r="G1675" i="8"/>
  <c r="G1677" i="8"/>
  <c r="G1683" i="8"/>
  <c r="G1696" i="8"/>
  <c r="G1698" i="8"/>
  <c r="G1704" i="8"/>
  <c r="G1715" i="8"/>
  <c r="G1730" i="8"/>
  <c r="G1732" i="8"/>
  <c r="G1736" i="8"/>
  <c r="G1760" i="8"/>
  <c r="G1762" i="8"/>
  <c r="G1784" i="8"/>
  <c r="G1795" i="8"/>
  <c r="G1799" i="8"/>
  <c r="G1813" i="8"/>
  <c r="G1823" i="8"/>
  <c r="G1831" i="8"/>
  <c r="G1855" i="8"/>
  <c r="G1863" i="8"/>
  <c r="G1870" i="8"/>
  <c r="G1874" i="8"/>
  <c r="G1891" i="8"/>
  <c r="G1895" i="8"/>
  <c r="G1899" i="8"/>
  <c r="G1910" i="8"/>
  <c r="G1912" i="8"/>
  <c r="G1914" i="8"/>
  <c r="G1918" i="8"/>
  <c r="G1922" i="8"/>
  <c r="G1964" i="8"/>
  <c r="G1970" i="8"/>
  <c r="G1974" i="8"/>
  <c r="G2003" i="8"/>
  <c r="G2005" i="8"/>
  <c r="G2007" i="8"/>
  <c r="G2009" i="8"/>
  <c r="G2032" i="8"/>
  <c r="G2050" i="8"/>
  <c r="G2054" i="8"/>
  <c r="G2066" i="8"/>
  <c r="G2081" i="8"/>
  <c r="G2106" i="8"/>
  <c r="G2148" i="8"/>
  <c r="G2164" i="8"/>
  <c r="G2188" i="8"/>
  <c r="G2192" i="8"/>
  <c r="G2196" i="8"/>
  <c r="G2203" i="8"/>
  <c r="G2222" i="8"/>
  <c r="G2238" i="8"/>
  <c r="G2255" i="8"/>
  <c r="G2259" i="8"/>
  <c r="G2263" i="8"/>
  <c r="G2310" i="8"/>
  <c r="G2312" i="8"/>
  <c r="G1527" i="8"/>
  <c r="G1544" i="8"/>
  <c r="G1554" i="8"/>
  <c r="G1565" i="8"/>
  <c r="G1569" i="8"/>
  <c r="G1573" i="8"/>
  <c r="G1575" i="8"/>
  <c r="G1580" i="8"/>
  <c r="G1582" i="8"/>
  <c r="G1588" i="8"/>
  <c r="G1630" i="8"/>
  <c r="G1632" i="8"/>
  <c r="G1634" i="8"/>
  <c r="G1636" i="8"/>
  <c r="G1640" i="8"/>
  <c r="G1655" i="8"/>
  <c r="G1670" i="8"/>
  <c r="G1672" i="8"/>
  <c r="G1674" i="8"/>
  <c r="G1676" i="8"/>
  <c r="G1680" i="8"/>
  <c r="G1742" i="8"/>
  <c r="G1744" i="8"/>
  <c r="G1748" i="8"/>
  <c r="G1752" i="8"/>
  <c r="G1805" i="8"/>
  <c r="G1826" i="8"/>
  <c r="G1837" i="8"/>
  <c r="G1839" i="8"/>
  <c r="G1843" i="8"/>
  <c r="G1847" i="8"/>
  <c r="G1869" i="8"/>
  <c r="G1871" i="8"/>
  <c r="G1890" i="8"/>
  <c r="G1905" i="8"/>
  <c r="G1919" i="8"/>
  <c r="G1980" i="8"/>
  <c r="G1984" i="8"/>
  <c r="G1986" i="8"/>
  <c r="G1988" i="8"/>
  <c r="G1990" i="8"/>
  <c r="G2010" i="8"/>
  <c r="G2022" i="8"/>
  <c r="G2033" i="8"/>
  <c r="G2037" i="8"/>
  <c r="G2039" i="8"/>
  <c r="G2041" i="8"/>
  <c r="G2045" i="8"/>
  <c r="G2074" i="8"/>
  <c r="G2078" i="8"/>
  <c r="G2098" i="8"/>
  <c r="G2113" i="8"/>
  <c r="G2126" i="8"/>
  <c r="G2130" i="8"/>
  <c r="G2134" i="8"/>
  <c r="G2140" i="8"/>
  <c r="G2174" i="8"/>
  <c r="G2176" i="8"/>
  <c r="G2180" i="8"/>
  <c r="G2202" i="8"/>
  <c r="G2204" i="8"/>
  <c r="G2206" i="8"/>
  <c r="G2210" i="8"/>
  <c r="G2211" i="8"/>
  <c r="G2223" i="8"/>
  <c r="G2231" i="8"/>
  <c r="G2235" i="8"/>
  <c r="G2254" i="8"/>
  <c r="G101" i="8"/>
  <c r="G105" i="8"/>
  <c r="G112" i="8"/>
  <c r="G114" i="8"/>
  <c r="G147" i="8"/>
  <c r="G149" i="8"/>
  <c r="G156" i="8"/>
  <c r="G167" i="8"/>
  <c r="G169" i="8"/>
  <c r="G176" i="8"/>
  <c r="G178" i="8"/>
  <c r="G213" i="8"/>
  <c r="G220" i="8"/>
  <c r="G486" i="8"/>
  <c r="G544" i="8"/>
  <c r="G539" i="8"/>
  <c r="G17" i="8"/>
  <c r="G19" i="8"/>
  <c r="G37" i="8"/>
  <c r="G39" i="8"/>
  <c r="G48" i="8"/>
  <c r="G81" i="8"/>
  <c r="G83" i="8"/>
  <c r="G103" i="8"/>
  <c r="G3" i="8"/>
  <c r="G14" i="8"/>
  <c r="G21" i="8"/>
  <c r="G23" i="8"/>
  <c r="G32" i="8"/>
  <c r="G58" i="8"/>
  <c r="G65" i="8"/>
  <c r="G67" i="8"/>
  <c r="G78" i="8"/>
  <c r="G85" i="8"/>
  <c r="G87" i="8"/>
  <c r="G96" i="8"/>
  <c r="G131" i="8"/>
  <c r="G133" i="8"/>
  <c r="G140" i="8"/>
  <c r="G151" i="8"/>
  <c r="G153" i="8"/>
  <c r="G160" i="8"/>
  <c r="G162" i="8"/>
  <c r="G195" i="8"/>
  <c r="G197" i="8"/>
  <c r="G199" i="8"/>
  <c r="G204" i="8"/>
  <c r="G217" i="8"/>
  <c r="G224" i="8"/>
  <c r="G226" i="8"/>
  <c r="G545" i="8"/>
  <c r="G42" i="8"/>
  <c r="G62" i="8"/>
  <c r="G227" i="8"/>
  <c r="G562" i="8"/>
  <c r="G231" i="8"/>
  <c r="G236" i="8"/>
  <c r="G245" i="8"/>
  <c r="G247" i="8"/>
  <c r="G252" i="8"/>
  <c r="G261" i="8"/>
  <c r="G263" i="8"/>
  <c r="G268" i="8"/>
  <c r="G277" i="8"/>
  <c r="G279" i="8"/>
  <c r="G284" i="8"/>
  <c r="G293" i="8"/>
  <c r="G295" i="8"/>
  <c r="G300" i="8"/>
  <c r="G309" i="8"/>
  <c r="G311" i="8"/>
  <c r="G316" i="8"/>
  <c r="G325" i="8"/>
  <c r="G327" i="8"/>
  <c r="G332" i="8"/>
  <c r="G341" i="8"/>
  <c r="G343" i="8"/>
  <c r="G348" i="8"/>
  <c r="G357" i="8"/>
  <c r="G359" i="8"/>
  <c r="G364" i="8"/>
  <c r="G373" i="8"/>
  <c r="G375" i="8"/>
  <c r="G380" i="8"/>
  <c r="G389" i="8"/>
  <c r="G391" i="8"/>
  <c r="G436" i="8"/>
  <c r="G445" i="8"/>
  <c r="G447" i="8"/>
  <c r="G452" i="8"/>
  <c r="G454" i="8"/>
  <c r="G485" i="8"/>
  <c r="G500" i="8"/>
  <c r="G510" i="8"/>
  <c r="G519" i="8"/>
  <c r="G532" i="8"/>
  <c r="G537" i="8"/>
  <c r="G541" i="8"/>
  <c r="G565" i="8"/>
  <c r="G570" i="8"/>
  <c r="G575" i="8"/>
  <c r="G597" i="8"/>
  <c r="G602" i="8"/>
  <c r="G607" i="8"/>
  <c r="G616" i="8"/>
  <c r="G629" i="8"/>
  <c r="G639" i="8"/>
  <c r="G648" i="8"/>
  <c r="G661" i="8"/>
  <c r="G671" i="8"/>
  <c r="G563" i="8"/>
  <c r="G6" i="8"/>
  <c r="G9" i="8"/>
  <c r="G11" i="8"/>
  <c r="G22" i="8"/>
  <c r="G25" i="8"/>
  <c r="G27" i="8"/>
  <c r="G38" i="8"/>
  <c r="G41" i="8"/>
  <c r="G43" i="8"/>
  <c r="G54" i="8"/>
  <c r="G57" i="8"/>
  <c r="G59" i="8"/>
  <c r="G70" i="8"/>
  <c r="G73" i="8"/>
  <c r="G75" i="8"/>
  <c r="G86" i="8"/>
  <c r="G89" i="8"/>
  <c r="G91" i="8"/>
  <c r="G102" i="8"/>
  <c r="G107" i="8"/>
  <c r="G109" i="8"/>
  <c r="G116" i="8"/>
  <c r="G123" i="8"/>
  <c r="G125" i="8"/>
  <c r="G132" i="8"/>
  <c r="G139" i="8"/>
  <c r="G141" i="8"/>
  <c r="G148" i="8"/>
  <c r="G155" i="8"/>
  <c r="G157" i="8"/>
  <c r="G164" i="8"/>
  <c r="G171" i="8"/>
  <c r="G173" i="8"/>
  <c r="G180" i="8"/>
  <c r="G187" i="8"/>
  <c r="G189" i="8"/>
  <c r="G196" i="8"/>
  <c r="G205" i="8"/>
  <c r="G207" i="8"/>
  <c r="G212" i="8"/>
  <c r="G221" i="8"/>
  <c r="G223" i="8"/>
  <c r="G228" i="8"/>
  <c r="G237" i="8"/>
  <c r="G239" i="8"/>
  <c r="G244" i="8"/>
  <c r="G253" i="8"/>
  <c r="G255" i="8"/>
  <c r="G260" i="8"/>
  <c r="G269" i="8"/>
  <c r="G271" i="8"/>
  <c r="G276" i="8"/>
  <c r="G285" i="8"/>
  <c r="G287" i="8"/>
  <c r="G292" i="8"/>
  <c r="G301" i="8"/>
  <c r="G303" i="8"/>
  <c r="G308" i="8"/>
  <c r="G317" i="8"/>
  <c r="G319" i="8"/>
  <c r="G324" i="8"/>
  <c r="G333" i="8"/>
  <c r="G335" i="8"/>
  <c r="G340" i="8"/>
  <c r="G349" i="8"/>
  <c r="G351" i="8"/>
  <c r="G356" i="8"/>
  <c r="G365" i="8"/>
  <c r="G367" i="8"/>
  <c r="G372" i="8"/>
  <c r="G381" i="8"/>
  <c r="G383" i="8"/>
  <c r="G388" i="8"/>
  <c r="G392" i="8"/>
  <c r="G437" i="8"/>
  <c r="G439" i="8"/>
  <c r="G444" i="8"/>
  <c r="G457" i="8"/>
  <c r="G459" i="8"/>
  <c r="G464" i="8"/>
  <c r="G469" i="8"/>
  <c r="G478" i="8"/>
  <c r="G494" i="8"/>
  <c r="G503" i="8"/>
  <c r="G516" i="8"/>
  <c r="G526" i="8"/>
  <c r="G535" i="8"/>
  <c r="G548" i="8"/>
  <c r="G553" i="8"/>
  <c r="G558" i="8"/>
  <c r="G581" i="8"/>
  <c r="G586" i="8"/>
  <c r="G591" i="8"/>
  <c r="G613" i="8"/>
  <c r="G623" i="8"/>
  <c r="G632" i="8"/>
  <c r="G645" i="8"/>
  <c r="G655" i="8"/>
  <c r="G664" i="8"/>
  <c r="G451" i="8"/>
  <c r="G456" i="8"/>
  <c r="G463" i="8"/>
  <c r="G471" i="8"/>
  <c r="G479" i="8"/>
  <c r="G488" i="8"/>
  <c r="G496" i="8"/>
  <c r="G504" i="8"/>
  <c r="G512" i="8"/>
  <c r="G520" i="8"/>
  <c r="G528" i="8"/>
  <c r="G543" i="8"/>
  <c r="G552" i="8"/>
  <c r="G560" i="8"/>
  <c r="G569" i="8"/>
  <c r="G577" i="8"/>
  <c r="G585" i="8"/>
  <c r="G593" i="8"/>
  <c r="G601" i="8"/>
  <c r="G609" i="8"/>
  <c r="G617" i="8"/>
  <c r="G625" i="8"/>
  <c r="G633" i="8"/>
  <c r="G641" i="8"/>
  <c r="G649" i="8"/>
  <c r="G657" i="8"/>
  <c r="G665" i="8"/>
  <c r="G673" i="8"/>
  <c r="G681" i="8"/>
  <c r="G689" i="8"/>
  <c r="G697" i="8"/>
  <c r="G705" i="8"/>
  <c r="G713" i="8"/>
  <c r="G721" i="8"/>
  <c r="G733" i="8"/>
  <c r="G742" i="8"/>
  <c r="G744" i="8"/>
  <c r="G749" i="8"/>
  <c r="G758" i="8"/>
  <c r="G760" i="8"/>
  <c r="G765" i="8"/>
  <c r="G774" i="8"/>
  <c r="G776" i="8"/>
  <c r="G781" i="8"/>
  <c r="G790" i="8"/>
  <c r="G792" i="8"/>
  <c r="G797" i="8"/>
  <c r="G806" i="8"/>
  <c r="G808" i="8"/>
  <c r="G813" i="8"/>
  <c r="G820" i="8"/>
  <c r="G828" i="8"/>
  <c r="G836" i="8"/>
  <c r="G844" i="8"/>
  <c r="G852" i="8"/>
  <c r="G860" i="8"/>
  <c r="G868" i="8"/>
  <c r="G876" i="8"/>
  <c r="G884" i="8"/>
  <c r="G912" i="8"/>
  <c r="G917" i="8"/>
  <c r="G922" i="8"/>
  <c r="G944" i="8"/>
  <c r="G949" i="8"/>
  <c r="G954" i="8"/>
  <c r="G978" i="8"/>
  <c r="G988" i="8"/>
  <c r="G997" i="8"/>
  <c r="G1010" i="8"/>
  <c r="G1020" i="8"/>
  <c r="G1029" i="8"/>
  <c r="G1039" i="8"/>
  <c r="G1044" i="8"/>
  <c r="G1065" i="8"/>
  <c r="G1070" i="8"/>
  <c r="G1081" i="8"/>
  <c r="G1086" i="8"/>
  <c r="G1097" i="8"/>
  <c r="G1102" i="8"/>
  <c r="G1113" i="8"/>
  <c r="G1118" i="8"/>
  <c r="G1129" i="8"/>
  <c r="G1134" i="8"/>
  <c r="G1145" i="8"/>
  <c r="G1150" i="8"/>
  <c r="G1201" i="8"/>
  <c r="G1208" i="8"/>
  <c r="G1224" i="8"/>
  <c r="G1240" i="8"/>
  <c r="G1256" i="8"/>
  <c r="G1272" i="8"/>
  <c r="G1288" i="8"/>
  <c r="G1304" i="8"/>
  <c r="G1370" i="8"/>
  <c r="G1407" i="8"/>
  <c r="G1435" i="8"/>
  <c r="G1467" i="8"/>
  <c r="G936" i="8"/>
  <c r="G968" i="8"/>
  <c r="G989" i="8"/>
  <c r="G1021" i="8"/>
  <c r="G1045" i="8"/>
  <c r="G1688" i="8"/>
  <c r="G677" i="8"/>
  <c r="G685" i="8"/>
  <c r="G693" i="8"/>
  <c r="G701" i="8"/>
  <c r="G709" i="8"/>
  <c r="G717" i="8"/>
  <c r="G725" i="8"/>
  <c r="G727" i="8"/>
  <c r="G734" i="8"/>
  <c r="G736" i="8"/>
  <c r="G741" i="8"/>
  <c r="G750" i="8"/>
  <c r="G752" i="8"/>
  <c r="G757" i="8"/>
  <c r="G766" i="8"/>
  <c r="G768" i="8"/>
  <c r="G773" i="8"/>
  <c r="G782" i="8"/>
  <c r="G784" i="8"/>
  <c r="G789" i="8"/>
  <c r="G798" i="8"/>
  <c r="G800" i="8"/>
  <c r="G805" i="8"/>
  <c r="G814" i="8"/>
  <c r="G816" i="8"/>
  <c r="G824" i="8"/>
  <c r="G832" i="8"/>
  <c r="G840" i="8"/>
  <c r="G848" i="8"/>
  <c r="G856" i="8"/>
  <c r="G864" i="8"/>
  <c r="G872" i="8"/>
  <c r="G880" i="8"/>
  <c r="G888" i="8"/>
  <c r="G896" i="8"/>
  <c r="G901" i="8"/>
  <c r="G906" i="8"/>
  <c r="G928" i="8"/>
  <c r="G960" i="8"/>
  <c r="G981" i="8"/>
  <c r="G1013" i="8"/>
  <c r="G1057" i="8"/>
  <c r="G1073" i="8"/>
  <c r="G1089" i="8"/>
  <c r="G1105" i="8"/>
  <c r="G1121" i="8"/>
  <c r="G1137" i="8"/>
  <c r="G1156" i="8"/>
  <c r="G1164" i="8"/>
  <c r="G1172" i="8"/>
  <c r="G1180" i="8"/>
  <c r="G1188" i="8"/>
  <c r="G1196" i="8"/>
  <c r="G1203" i="8"/>
  <c r="G1211" i="8"/>
  <c r="G1219" i="8"/>
  <c r="G1227" i="8"/>
  <c r="G1235" i="8"/>
  <c r="G1243" i="8"/>
  <c r="G1251" i="8"/>
  <c r="G1259" i="8"/>
  <c r="G1267" i="8"/>
  <c r="G1275" i="8"/>
  <c r="G1283" i="8"/>
  <c r="G1291" i="8"/>
  <c r="G1299" i="8"/>
  <c r="G1307" i="8"/>
  <c r="G1312" i="8"/>
  <c r="G1314" i="8"/>
  <c r="G1332" i="8"/>
  <c r="G1340" i="8"/>
  <c r="G1353" i="8"/>
  <c r="G1358" i="8"/>
  <c r="G1373" i="8"/>
  <c r="G1390" i="8"/>
  <c r="G1405" i="8"/>
  <c r="G1414" i="8"/>
  <c r="G1421" i="8"/>
  <c r="G1433" i="8"/>
  <c r="G1442" i="8"/>
  <c r="G1449" i="8"/>
  <c r="G1458" i="8"/>
  <c r="G1465" i="8"/>
  <c r="G1474" i="8"/>
  <c r="G1481" i="8"/>
  <c r="G1490" i="8"/>
  <c r="G1607" i="8"/>
  <c r="G1633" i="8"/>
  <c r="G1650" i="8"/>
  <c r="G1652" i="8"/>
  <c r="G1661" i="8"/>
  <c r="G1684" i="8"/>
  <c r="G1708" i="8"/>
  <c r="G1735" i="8"/>
  <c r="G1737" i="8"/>
  <c r="G1739" i="8"/>
  <c r="G1746" i="8"/>
  <c r="G1759" i="8"/>
  <c r="G1763" i="8"/>
  <c r="G1786" i="8"/>
  <c r="G1788" i="8"/>
  <c r="G1797" i="8"/>
  <c r="G1846" i="8"/>
  <c r="G1848" i="8"/>
  <c r="G1850" i="8"/>
  <c r="G1857" i="8"/>
  <c r="G892" i="8"/>
  <c r="G900" i="8"/>
  <c r="G908" i="8"/>
  <c r="G916" i="8"/>
  <c r="G924" i="8"/>
  <c r="G932" i="8"/>
  <c r="G940" i="8"/>
  <c r="G948" i="8"/>
  <c r="G956" i="8"/>
  <c r="G964" i="8"/>
  <c r="G974" i="8"/>
  <c r="G982" i="8"/>
  <c r="G990" i="8"/>
  <c r="G998" i="8"/>
  <c r="G1006" i="8"/>
  <c r="G1014" i="8"/>
  <c r="G1022" i="8"/>
  <c r="G1030" i="8"/>
  <c r="G1038" i="8"/>
  <c r="G1046" i="8"/>
  <c r="G1058" i="8"/>
  <c r="G1066" i="8"/>
  <c r="G1074" i="8"/>
  <c r="G1082" i="8"/>
  <c r="G1090" i="8"/>
  <c r="G1098" i="8"/>
  <c r="G1106" i="8"/>
  <c r="G1114" i="8"/>
  <c r="G1122" i="8"/>
  <c r="G1130" i="8"/>
  <c r="G1138" i="8"/>
  <c r="G1146" i="8"/>
  <c r="G1155" i="8"/>
  <c r="G1163" i="8"/>
  <c r="G1171" i="8"/>
  <c r="G1179" i="8"/>
  <c r="G1187" i="8"/>
  <c r="G1195" i="8"/>
  <c r="G1202" i="8"/>
  <c r="G1210" i="8"/>
  <c r="G1218" i="8"/>
  <c r="G1226" i="8"/>
  <c r="G1234" i="8"/>
  <c r="G1242" i="8"/>
  <c r="G1250" i="8"/>
  <c r="G1258" i="8"/>
  <c r="G1266" i="8"/>
  <c r="G1274" i="8"/>
  <c r="G1282" i="8"/>
  <c r="G1290" i="8"/>
  <c r="G1298" i="8"/>
  <c r="G1306" i="8"/>
  <c r="G1311" i="8"/>
  <c r="G1313" i="8"/>
  <c r="G1316" i="8"/>
  <c r="G1324" i="8"/>
  <c r="G1339" i="8"/>
  <c r="G1350" i="8"/>
  <c r="G1352" i="8"/>
  <c r="G1365" i="8"/>
  <c r="G1372" i="8"/>
  <c r="G1382" i="8"/>
  <c r="G1384" i="8"/>
  <c r="G1397" i="8"/>
  <c r="G1404" i="8"/>
  <c r="G1418" i="8"/>
  <c r="G1420" i="8"/>
  <c r="G1430" i="8"/>
  <c r="G1432" i="8"/>
  <c r="G1446" i="8"/>
  <c r="G1448" i="8"/>
  <c r="G1462" i="8"/>
  <c r="G1464" i="8"/>
  <c r="G1478" i="8"/>
  <c r="G1480" i="8"/>
  <c r="G1498" i="8"/>
  <c r="G1502" i="8"/>
  <c r="G1525" i="8"/>
  <c r="G1532" i="8"/>
  <c r="G1534" i="8"/>
  <c r="G1557" i="8"/>
  <c r="G1564" i="8"/>
  <c r="G1566" i="8"/>
  <c r="G1589" i="8"/>
  <c r="G1596" i="8"/>
  <c r="G1598" i="8"/>
  <c r="G1669" i="8"/>
  <c r="G1671" i="8"/>
  <c r="G1673" i="8"/>
  <c r="G1699" i="8"/>
  <c r="G1716" i="8"/>
  <c r="G1718" i="8"/>
  <c r="G1720" i="8"/>
  <c r="G1750" i="8"/>
  <c r="G1779" i="8"/>
  <c r="G1893" i="8"/>
  <c r="G1323" i="8"/>
  <c r="G1364" i="8"/>
  <c r="G1376" i="8"/>
  <c r="G1396" i="8"/>
  <c r="G1408" i="8"/>
  <c r="G1425" i="8"/>
  <c r="G1436" i="8"/>
  <c r="G1452" i="8"/>
  <c r="G1468" i="8"/>
  <c r="G1484" i="8"/>
  <c r="G1507" i="8"/>
  <c r="G1539" i="8"/>
  <c r="G1571" i="8"/>
  <c r="G1768" i="8"/>
  <c r="G1493" i="8"/>
  <c r="G1504" i="8"/>
  <c r="G1513" i="8"/>
  <c r="G1515" i="8"/>
  <c r="G1520" i="8"/>
  <c r="G1529" i="8"/>
  <c r="G1531" i="8"/>
  <c r="G1536" i="8"/>
  <c r="G1545" i="8"/>
  <c r="G1547" i="8"/>
  <c r="G1552" i="8"/>
  <c r="G1561" i="8"/>
  <c r="G1563" i="8"/>
  <c r="G1568" i="8"/>
  <c r="G1577" i="8"/>
  <c r="G1579" i="8"/>
  <c r="G1584" i="8"/>
  <c r="G1593" i="8"/>
  <c r="G1595" i="8"/>
  <c r="G1600" i="8"/>
  <c r="G1602" i="8"/>
  <c r="G1604" i="8"/>
  <c r="G1614" i="8"/>
  <c r="G1616" i="8"/>
  <c r="G1623" i="8"/>
  <c r="G1625" i="8"/>
  <c r="G1635" i="8"/>
  <c r="G1663" i="8"/>
  <c r="G1665" i="8"/>
  <c r="G1679" i="8"/>
  <c r="G1686" i="8"/>
  <c r="G1710" i="8"/>
  <c r="G1712" i="8"/>
  <c r="G1743" i="8"/>
  <c r="G1765" i="8"/>
  <c r="G1774" i="8"/>
  <c r="G1806" i="8"/>
  <c r="G1830" i="8"/>
  <c r="G1832" i="8"/>
  <c r="G1834" i="8"/>
  <c r="G1841" i="8"/>
  <c r="G1854" i="8"/>
  <c r="G1909" i="8"/>
  <c r="G1924" i="8"/>
  <c r="G1933" i="8"/>
  <c r="G1935" i="8"/>
  <c r="G1950" i="8"/>
  <c r="G1968" i="8"/>
  <c r="G1981" i="8"/>
  <c r="G2013" i="8"/>
  <c r="G2036" i="8"/>
  <c r="G2042" i="8"/>
  <c r="G2110" i="8"/>
  <c r="G2207" i="8"/>
  <c r="G2226" i="8"/>
  <c r="G1501" i="8"/>
  <c r="G1503" i="8"/>
  <c r="G1519" i="8"/>
  <c r="G1533" i="8"/>
  <c r="G1535" i="8"/>
  <c r="G1551" i="8"/>
  <c r="G1567" i="8"/>
  <c r="G1583" i="8"/>
  <c r="G1599" i="8"/>
  <c r="G1613" i="8"/>
  <c r="G1615" i="8"/>
  <c r="G1641" i="8"/>
  <c r="G1685" i="8"/>
  <c r="G1687" i="8"/>
  <c r="G1700" i="8"/>
  <c r="G1719" i="8"/>
  <c r="G1721" i="8"/>
  <c r="G1723" i="8"/>
  <c r="G1754" i="8"/>
  <c r="G1764" i="8"/>
  <c r="G1767" i="8"/>
  <c r="G1769" i="8"/>
  <c r="G1771" i="8"/>
  <c r="G1778" i="8"/>
  <c r="G1780" i="8"/>
  <c r="G1783" i="8"/>
  <c r="G1785" i="8"/>
  <c r="G1787" i="8"/>
  <c r="G1817" i="8"/>
  <c r="G1827" i="8"/>
  <c r="G1838" i="8"/>
  <c r="G1845" i="8"/>
  <c r="G1902" i="8"/>
  <c r="G1921" i="8"/>
  <c r="G1958" i="8"/>
  <c r="G1982" i="8"/>
  <c r="G1993" i="8"/>
  <c r="G2029" i="8"/>
  <c r="G2064" i="8"/>
  <c r="G2152" i="8"/>
  <c r="G2168" i="8"/>
  <c r="G2257" i="8"/>
  <c r="G2018" i="8"/>
  <c r="G2067" i="8"/>
  <c r="G2076" i="8"/>
  <c r="G2099" i="8"/>
  <c r="G2108" i="8"/>
  <c r="G2166" i="8"/>
  <c r="G2179" i="8"/>
  <c r="G2181" i="8"/>
  <c r="G2183" i="8"/>
  <c r="G2190" i="8"/>
  <c r="G2195" i="8"/>
  <c r="G2197" i="8"/>
  <c r="G2199" i="8"/>
  <c r="G2213" i="8"/>
  <c r="G2219" i="8"/>
  <c r="G2233" i="8"/>
  <c r="G2266" i="8"/>
  <c r="G1809" i="8"/>
  <c r="G1811" i="8"/>
  <c r="G1814" i="8"/>
  <c r="G1816" i="8"/>
  <c r="G1818" i="8"/>
  <c r="G1849" i="8"/>
  <c r="G1859" i="8"/>
  <c r="G1862" i="8"/>
  <c r="G1864" i="8"/>
  <c r="G1866" i="8"/>
  <c r="G1873" i="8"/>
  <c r="G1875" i="8"/>
  <c r="G1878" i="8"/>
  <c r="G1880" i="8"/>
  <c r="G1882" i="8"/>
  <c r="G1913" i="8"/>
  <c r="G1923" i="8"/>
  <c r="G1926" i="8"/>
  <c r="G1928" i="8"/>
  <c r="G1930" i="8"/>
  <c r="G1937" i="8"/>
  <c r="G1942" i="8"/>
  <c r="G1944" i="8"/>
  <c r="G1946" i="8"/>
  <c r="G1997" i="8"/>
  <c r="G2056" i="8"/>
  <c r="G2069" i="8"/>
  <c r="G2071" i="8"/>
  <c r="G2073" i="8"/>
  <c r="G2080" i="8"/>
  <c r="G2085" i="8"/>
  <c r="G2087" i="8"/>
  <c r="G2089" i="8"/>
  <c r="G2096" i="8"/>
  <c r="G2101" i="8"/>
  <c r="G2103" i="8"/>
  <c r="G2105" i="8"/>
  <c r="G2112" i="8"/>
  <c r="G2117" i="8"/>
  <c r="G2119" i="8"/>
  <c r="G2121" i="8"/>
  <c r="G2187" i="8"/>
  <c r="G2228" i="8"/>
  <c r="G2230" i="8"/>
  <c r="G2237" i="8"/>
  <c r="G2242" i="8"/>
  <c r="G2244" i="8"/>
  <c r="G2246" i="8"/>
  <c r="G2302" i="8"/>
  <c r="G2304" i="8"/>
  <c r="G2307" i="8"/>
  <c r="G2309" i="8"/>
  <c r="G2311" i="8"/>
  <c r="G1879" i="8"/>
  <c r="G1927" i="8"/>
  <c r="G1943" i="8"/>
  <c r="G1952" i="8"/>
  <c r="G1954" i="8"/>
  <c r="G1957" i="8"/>
  <c r="G1965" i="8"/>
  <c r="G1967" i="8"/>
  <c r="G2012" i="8"/>
  <c r="G2035" i="8"/>
  <c r="G2044" i="8"/>
  <c r="G2070" i="8"/>
  <c r="G2077" i="8"/>
  <c r="G2086" i="8"/>
  <c r="G2093" i="8"/>
  <c r="G2102" i="8"/>
  <c r="G2109" i="8"/>
  <c r="G2118" i="8"/>
  <c r="G2131" i="8"/>
  <c r="G2144" i="8"/>
  <c r="G2147" i="8"/>
  <c r="G2149" i="8"/>
  <c r="G2151" i="8"/>
  <c r="G2158" i="8"/>
  <c r="G2160" i="8"/>
  <c r="G2163" i="8"/>
  <c r="G2165" i="8"/>
  <c r="G2167" i="8"/>
  <c r="G2198" i="8"/>
  <c r="G2208" i="8"/>
  <c r="G2212" i="8"/>
  <c r="G2218" i="8"/>
  <c r="G2234" i="8"/>
  <c r="G2243" i="8"/>
  <c r="G2256" i="8"/>
  <c r="G2308" i="8"/>
  <c r="H3" i="4"/>
  <c r="C4" i="4"/>
  <c r="H4" i="4"/>
  <c r="C5" i="4"/>
  <c r="H5" i="4"/>
  <c r="C6" i="4"/>
  <c r="H6" i="4"/>
  <c r="C7" i="4"/>
  <c r="H7" i="4"/>
  <c r="C8" i="4"/>
  <c r="H8" i="4"/>
  <c r="C9" i="4"/>
  <c r="H9" i="4"/>
  <c r="C10" i="4"/>
  <c r="H10" i="4"/>
  <c r="C11" i="4"/>
  <c r="H11" i="4"/>
  <c r="C12" i="4"/>
  <c r="H12" i="4"/>
  <c r="C13" i="4"/>
  <c r="H13" i="4"/>
  <c r="C14" i="4"/>
  <c r="H14" i="4"/>
  <c r="C15" i="4"/>
  <c r="H15" i="4"/>
  <c r="C16" i="4"/>
  <c r="H16" i="4"/>
  <c r="C17" i="4"/>
  <c r="H17" i="4"/>
  <c r="C18" i="4"/>
  <c r="H18" i="4"/>
  <c r="C19" i="4"/>
  <c r="H19" i="4"/>
  <c r="C20" i="4"/>
  <c r="H20" i="4"/>
  <c r="C21" i="4"/>
  <c r="H21" i="4"/>
  <c r="C22" i="4"/>
  <c r="H22" i="4"/>
  <c r="C23" i="4"/>
  <c r="H23" i="4"/>
  <c r="C24" i="4"/>
  <c r="H24" i="4"/>
  <c r="C25" i="4"/>
  <c r="H25" i="4"/>
  <c r="C26" i="4"/>
  <c r="H26" i="4"/>
  <c r="C27" i="4"/>
  <c r="H27" i="4"/>
  <c r="C28" i="4"/>
  <c r="H28" i="4"/>
  <c r="C29" i="4"/>
  <c r="H29" i="4"/>
  <c r="C30" i="4"/>
  <c r="H30" i="4"/>
  <c r="E3" i="4"/>
  <c r="I3" i="4"/>
  <c r="E4" i="4"/>
  <c r="I4" i="4"/>
  <c r="E5" i="4"/>
  <c r="I5" i="4"/>
  <c r="E6" i="4"/>
  <c r="I6" i="4"/>
  <c r="E7" i="4"/>
  <c r="I7" i="4"/>
  <c r="E8" i="4"/>
  <c r="I8" i="4"/>
  <c r="E9" i="4"/>
  <c r="I9" i="4"/>
  <c r="E10" i="4"/>
  <c r="I10" i="4"/>
  <c r="E11" i="4"/>
  <c r="I11" i="4"/>
  <c r="E12" i="4"/>
  <c r="I12" i="4"/>
  <c r="E13" i="4"/>
  <c r="I13" i="4"/>
  <c r="E14" i="4"/>
  <c r="I14" i="4"/>
  <c r="E15" i="4"/>
  <c r="I15" i="4"/>
  <c r="E16" i="4"/>
  <c r="I16" i="4"/>
  <c r="E17" i="4"/>
  <c r="I17" i="4"/>
  <c r="E18" i="4"/>
  <c r="I18" i="4"/>
  <c r="E19" i="4"/>
  <c r="I19" i="4"/>
  <c r="E20" i="4"/>
  <c r="I20" i="4"/>
  <c r="E21" i="4"/>
  <c r="I21" i="4"/>
  <c r="E22" i="4"/>
  <c r="I22" i="4"/>
  <c r="E23" i="4"/>
  <c r="I23" i="4"/>
  <c r="E24" i="4"/>
  <c r="I24" i="4"/>
  <c r="E25" i="4"/>
  <c r="I25" i="4"/>
  <c r="E26" i="4"/>
  <c r="I26" i="4"/>
  <c r="E27" i="4"/>
  <c r="I27" i="4"/>
  <c r="E28" i="4"/>
  <c r="I28" i="4"/>
  <c r="E29" i="4"/>
  <c r="I29" i="4"/>
  <c r="E30" i="4"/>
  <c r="I30" i="4"/>
  <c r="G397" i="8"/>
  <c r="G405" i="8"/>
  <c r="G413" i="8"/>
  <c r="G421" i="8"/>
  <c r="G429" i="8"/>
  <c r="F3" i="4"/>
  <c r="J3" i="4"/>
  <c r="F4" i="4"/>
  <c r="J4" i="4"/>
  <c r="F5" i="4"/>
  <c r="J5" i="4"/>
  <c r="F6" i="4"/>
  <c r="J6" i="4"/>
  <c r="F7" i="4"/>
  <c r="J7" i="4"/>
  <c r="F8" i="4"/>
  <c r="J8" i="4"/>
  <c r="F9" i="4"/>
  <c r="J9" i="4"/>
  <c r="F10" i="4"/>
  <c r="J10" i="4"/>
  <c r="F11" i="4"/>
  <c r="J11" i="4"/>
  <c r="F12" i="4"/>
  <c r="J12" i="4"/>
  <c r="F13" i="4"/>
  <c r="J13" i="4"/>
  <c r="F14" i="4"/>
  <c r="J14" i="4"/>
  <c r="F15" i="4"/>
  <c r="J15" i="4"/>
  <c r="F16" i="4"/>
  <c r="J16" i="4"/>
  <c r="F17" i="4"/>
  <c r="J17" i="4"/>
  <c r="F18" i="4"/>
  <c r="J18" i="4"/>
  <c r="F19" i="4"/>
  <c r="J19" i="4"/>
  <c r="F20" i="4"/>
  <c r="J20" i="4"/>
  <c r="F21" i="4"/>
  <c r="J21" i="4"/>
  <c r="F22" i="4"/>
  <c r="J22" i="4"/>
  <c r="F23" i="4"/>
  <c r="J23" i="4"/>
  <c r="F24" i="4"/>
  <c r="J24" i="4"/>
  <c r="F25" i="4"/>
  <c r="J25" i="4"/>
  <c r="F26" i="4"/>
  <c r="J26" i="4"/>
  <c r="F27" i="4"/>
  <c r="J27" i="4"/>
  <c r="F28" i="4"/>
  <c r="J28" i="4"/>
  <c r="F29" i="4"/>
  <c r="J29" i="4"/>
  <c r="F30" i="4"/>
  <c r="J30" i="4"/>
  <c r="G3" i="4"/>
  <c r="K3" i="4"/>
  <c r="G4" i="4"/>
  <c r="K4" i="4"/>
  <c r="G5" i="4"/>
  <c r="K5" i="4"/>
  <c r="G6" i="4"/>
  <c r="K6" i="4"/>
  <c r="G7" i="4"/>
  <c r="K7" i="4"/>
  <c r="G8" i="4"/>
  <c r="K8" i="4"/>
  <c r="G9" i="4"/>
  <c r="K9" i="4"/>
  <c r="G10" i="4"/>
  <c r="K10" i="4"/>
  <c r="G11" i="4"/>
  <c r="K11" i="4"/>
  <c r="G12" i="4"/>
  <c r="K12" i="4"/>
  <c r="G13" i="4"/>
  <c r="K13" i="4"/>
  <c r="G14" i="4"/>
  <c r="K14" i="4"/>
  <c r="G15" i="4"/>
  <c r="K15" i="4"/>
  <c r="G16" i="4"/>
  <c r="K16" i="4"/>
  <c r="G17" i="4"/>
  <c r="K17" i="4"/>
  <c r="G18" i="4"/>
  <c r="K18" i="4"/>
  <c r="G19" i="4"/>
  <c r="K19" i="4"/>
  <c r="G20" i="4"/>
  <c r="K20" i="4"/>
  <c r="G21" i="4"/>
  <c r="K21" i="4"/>
  <c r="G22" i="4"/>
  <c r="K22" i="4"/>
  <c r="G23" i="4"/>
  <c r="K23" i="4"/>
  <c r="G24" i="4"/>
  <c r="K24" i="4"/>
  <c r="G25" i="4"/>
  <c r="K25" i="4"/>
  <c r="G26" i="4"/>
  <c r="K26" i="4"/>
  <c r="G27" i="4"/>
  <c r="K27" i="4"/>
  <c r="G28" i="4"/>
  <c r="K28" i="4"/>
  <c r="G29" i="4"/>
  <c r="K29" i="4"/>
  <c r="G30" i="4"/>
  <c r="G393" i="8"/>
  <c r="G401" i="8"/>
  <c r="G409" i="8"/>
  <c r="G417" i="8"/>
  <c r="G425" i="8"/>
  <c r="G475" i="8"/>
  <c r="G1377" i="8"/>
  <c r="G1385" i="8"/>
  <c r="G1393" i="8"/>
  <c r="G1401" i="8"/>
  <c r="G1409" i="8"/>
  <c r="G1426" i="8"/>
  <c r="G1437" i="8"/>
  <c r="G1453" i="8"/>
  <c r="G1469" i="8"/>
  <c r="G1485" i="8"/>
  <c r="G1320" i="8"/>
  <c r="G1336" i="8"/>
  <c r="G1413" i="8"/>
  <c r="G1441" i="8"/>
  <c r="G1457" i="8"/>
  <c r="G1473" i="8"/>
  <c r="G1489" i="8"/>
  <c r="G1500" i="8"/>
  <c r="G1610" i="8"/>
  <c r="G1626" i="8"/>
  <c r="G1642" i="8"/>
  <c r="G1666" i="8"/>
  <c r="G1690" i="8"/>
  <c r="G1713" i="8"/>
  <c r="G1726" i="8"/>
  <c r="G1749" i="8"/>
  <c r="G1758" i="8"/>
  <c r="G1781" i="8"/>
  <c r="G1790" i="8"/>
  <c r="G1812" i="8"/>
  <c r="G1821" i="8"/>
  <c r="G1844" i="8"/>
  <c r="G1853" i="8"/>
  <c r="G1876" i="8"/>
  <c r="G1885" i="8"/>
  <c r="G1908" i="8"/>
  <c r="G1917" i="8"/>
  <c r="G1940" i="8"/>
  <c r="G1983" i="8"/>
  <c r="G2305" i="8"/>
  <c r="G1606" i="8"/>
  <c r="G1622" i="8"/>
  <c r="G1638" i="8"/>
  <c r="G1654" i="8"/>
  <c r="G1659" i="8"/>
  <c r="G1682" i="8"/>
  <c r="G1701" i="8"/>
  <c r="G1706" i="8"/>
  <c r="G1738" i="8"/>
  <c r="G1770" i="8"/>
  <c r="G1801" i="8"/>
  <c r="G1833" i="8"/>
  <c r="G1865" i="8"/>
  <c r="G1897" i="8"/>
  <c r="G1929" i="8"/>
  <c r="G1948" i="8"/>
  <c r="G1955" i="8"/>
  <c r="G1960" i="8"/>
  <c r="G1996" i="8"/>
  <c r="G2024" i="8"/>
  <c r="G2088" i="8"/>
  <c r="G2161" i="8"/>
  <c r="G2170" i="8"/>
  <c r="G1729" i="8"/>
  <c r="G1745" i="8"/>
  <c r="G1761" i="8"/>
  <c r="G1777" i="8"/>
  <c r="G1793" i="8"/>
  <c r="G1808" i="8"/>
  <c r="G1824" i="8"/>
  <c r="G1840" i="8"/>
  <c r="G1856" i="8"/>
  <c r="G1872" i="8"/>
  <c r="G1888" i="8"/>
  <c r="G1904" i="8"/>
  <c r="G1920" i="8"/>
  <c r="G1936" i="8"/>
  <c r="G1971" i="8"/>
  <c r="G1976" i="8"/>
  <c r="G1999" i="8"/>
  <c r="G2019" i="8"/>
  <c r="G2028" i="8"/>
  <c r="G2051" i="8"/>
  <c r="G2060" i="8"/>
  <c r="G2083" i="8"/>
  <c r="G2092" i="8"/>
  <c r="G2115" i="8"/>
  <c r="G2124" i="8"/>
  <c r="G2150" i="8"/>
  <c r="G2182" i="8"/>
  <c r="G2225" i="8"/>
  <c r="G2240" i="8"/>
  <c r="G2249" i="8"/>
  <c r="G1662" i="8"/>
  <c r="G1678" i="8"/>
  <c r="G1693" i="8"/>
  <c r="G1709" i="8"/>
  <c r="G1725" i="8"/>
  <c r="G1741" i="8"/>
  <c r="G1757" i="8"/>
  <c r="G1773" i="8"/>
  <c r="G1789" i="8"/>
  <c r="G1804" i="8"/>
  <c r="G1820" i="8"/>
  <c r="G1836" i="8"/>
  <c r="G1852" i="8"/>
  <c r="G1868" i="8"/>
  <c r="G1884" i="8"/>
  <c r="G1900" i="8"/>
  <c r="G1916" i="8"/>
  <c r="G1932" i="8"/>
  <c r="G1951" i="8"/>
  <c r="G1987" i="8"/>
  <c r="G1992" i="8"/>
  <c r="G2008" i="8"/>
  <c r="G2040" i="8"/>
  <c r="G2072" i="8"/>
  <c r="G2104" i="8"/>
  <c r="G2136" i="8"/>
  <c r="G2145" i="8"/>
  <c r="G2154" i="8"/>
  <c r="G2177" i="8"/>
  <c r="G2186" i="8"/>
  <c r="G2209" i="8"/>
  <c r="G2229" i="8"/>
  <c r="G2261" i="8"/>
  <c r="G2298" i="8"/>
  <c r="G2015" i="8"/>
  <c r="G2031" i="8"/>
  <c r="G2047" i="8"/>
  <c r="G2063" i="8"/>
  <c r="G2079" i="8"/>
  <c r="G2095" i="8"/>
  <c r="G2111" i="8"/>
  <c r="G2127" i="8"/>
  <c r="G2141" i="8"/>
  <c r="G2157" i="8"/>
  <c r="G2173" i="8"/>
  <c r="G2189" i="8"/>
  <c r="G2205" i="8"/>
  <c r="G2221" i="8"/>
  <c r="G2236" i="8"/>
  <c r="G2252" i="8"/>
  <c r="G2301" i="8"/>
  <c r="G1947" i="8"/>
  <c r="G1963" i="8"/>
  <c r="G1979" i="8"/>
  <c r="G1995" i="8"/>
  <c r="G2011" i="8"/>
  <c r="G2027" i="8"/>
  <c r="G2043" i="8"/>
  <c r="G2059" i="8"/>
  <c r="G2075" i="8"/>
  <c r="G2091" i="8"/>
  <c r="G2107" i="8"/>
  <c r="G2123" i="8"/>
  <c r="G2139" i="8"/>
  <c r="G2153" i="8"/>
  <c r="G2169" i="8"/>
  <c r="G2185" i="8"/>
  <c r="G2201" i="8"/>
  <c r="G2215" i="8"/>
  <c r="G2232" i="8"/>
  <c r="G2248" i="8"/>
  <c r="G2264" i="8"/>
  <c r="G2313" i="8"/>
</calcChain>
</file>

<file path=xl/sharedStrings.xml><?xml version="1.0" encoding="utf-8"?>
<sst xmlns="http://schemas.openxmlformats.org/spreadsheetml/2006/main" count="276" uniqueCount="248">
  <si>
    <t>Codigo</t>
  </si>
  <si>
    <t>ACCESORIOS NUEVOS SETIEMBRE</t>
  </si>
  <si>
    <t>FOTO</t>
  </si>
  <si>
    <t>Precio</t>
  </si>
  <si>
    <t>Precio Antes</t>
  </si>
  <si>
    <t>Pencil Tip Cover (protector Goma Apple Pencil)</t>
  </si>
  <si>
    <t>Wisdon Charguer CD-A19 (Toma corriente USB)</t>
  </si>
  <si>
    <t>TG157 Led speaker (Parlante Bluetooh)</t>
  </si>
  <si>
    <t>Foldable Laptop Stand (Base para Laptop)</t>
  </si>
  <si>
    <t>Bluetooth 
numeric keypad (teclado numerico)</t>
  </si>
  <si>
    <t>A11 bluetooth speaker (parlantes Pequeños)</t>
  </si>
  <si>
    <t>VR Box  (Lentes Celulares)</t>
  </si>
  <si>
    <t>Typo C-RJ45 10 / 100Mbps  (Adaptador Usb a Red)</t>
  </si>
  <si>
    <t>C20 wirless charger (Cargador Para Auto)</t>
  </si>
  <si>
    <t>10 in 1 USB3.1 Hub (Base Hub)</t>
  </si>
  <si>
    <t>Moft X phone holder (Base para Celular)</t>
  </si>
  <si>
    <t>Moft Ipad holder (Base para Ipad)</t>
  </si>
  <si>
    <t>Xiaomi metal 
mouse pad (Mouse pad)</t>
  </si>
  <si>
    <t>HDTV Cable (Para Iphone y TV)</t>
  </si>
  <si>
    <t>Aluminum laptop stand (Base para Aluminio IPAD / Laptop)</t>
  </si>
  <si>
    <t xml:space="preserve">Type-C 5 in 1 </t>
  </si>
  <si>
    <t>6Gbps speed with TypeC 3.1 (case para m2)60355</t>
  </si>
  <si>
    <t>10Gbps speed with TypeC 3.1 (case para m2) 60354</t>
  </si>
  <si>
    <t>4 in 1 OTG Conector Iphone (Adaptador para Iphone o IPAD)</t>
  </si>
  <si>
    <t>Lightning to HDMI Digital AV Adapter 1080P (adaptador Iphone / Ipad)</t>
  </si>
  <si>
    <t>USB Charguer CD-A10 (Toma corriente USB)</t>
  </si>
  <si>
    <t>3 in 1 wireless charger (Cargador para Celular, Airpods y Watch)</t>
  </si>
  <si>
    <t>M990 Wired laser gaming mouse (Mouse Gamer Caja)</t>
  </si>
  <si>
    <t>A867 RGB Wired laser  (Mouse Gamer Cable economico)</t>
  </si>
  <si>
    <t>SM-008 Desktop computer microphone (Microfono externo)</t>
  </si>
  <si>
    <t>Teclado GTX300</t>
  </si>
  <si>
    <t xml:space="preserve">Mouse Pad Colores GMs-WT-5 </t>
  </si>
  <si>
    <t xml:space="preserve">Hub 12 en 1 Tipo C </t>
  </si>
  <si>
    <t xml:space="preserve">Case + Teclado Ipad </t>
  </si>
  <si>
    <t xml:space="preserve">Reloj Smartwacht </t>
  </si>
  <si>
    <t>Notebook Cooling PAD</t>
  </si>
  <si>
    <t>Mouse inalambrico gamer (Gamer mouse inalambrico)</t>
  </si>
  <si>
    <t>Mouse cable Basico (mouse cable)</t>
  </si>
  <si>
    <t>USB 2.0 Hub 7 conectores</t>
  </si>
  <si>
    <t>Cargadores Samsung Cubo + Cable Original</t>
  </si>
  <si>
    <t>Audifonos Samsung Tipo C Original</t>
  </si>
  <si>
    <t>Mochila Laptop</t>
  </si>
  <si>
    <t xml:space="preserve">Camara Web 1080 </t>
  </si>
  <si>
    <t>Adaptador Iphone a USB</t>
  </si>
  <si>
    <t>Protector Teclado Macbook Colores</t>
  </si>
  <si>
    <t xml:space="preserve">Hub 6 en 1  Tipo C </t>
  </si>
  <si>
    <t>Hub 8 en 1 Largo Tipo C</t>
  </si>
  <si>
    <t>Clock 10W wireless charger</t>
  </si>
  <si>
    <t xml:space="preserve">Hub 3 en 1 Tipo C </t>
  </si>
  <si>
    <t xml:space="preserve">Hub 7 en 1 Tipo C </t>
  </si>
  <si>
    <t>Hub 4 en 1 Tipo C  IPAD</t>
  </si>
  <si>
    <t>Smart Camara Movimiento</t>
  </si>
  <si>
    <t>Centros de Carga Celular / IPAD Plano</t>
  </si>
  <si>
    <t>Camara Para Automovil</t>
  </si>
  <si>
    <t xml:space="preserve">Hub 5 en 1 Tipo C </t>
  </si>
  <si>
    <t>Adaptador C a Usb</t>
  </si>
  <si>
    <t>Adaptador C a HDMI</t>
  </si>
  <si>
    <t>Adaptador Celular Auto</t>
  </si>
  <si>
    <t>Hub 8 en 1 Tipo C</t>
  </si>
  <si>
    <t xml:space="preserve">Hub 4 en 1 Tipo C </t>
  </si>
  <si>
    <t>Hub 4 en 1 Largo</t>
  </si>
  <si>
    <t xml:space="preserve">Cable iphone Original Caja Sellada </t>
  </si>
  <si>
    <t>Cubo Iphone Carga Rapida 11pro - 11 Pro max</t>
  </si>
  <si>
    <t>Cable C a Lighnith Carga Rapida 11pro - 11 Pro max</t>
  </si>
  <si>
    <t>AUDIFONOS 6G Punta Normal Original</t>
  </si>
  <si>
    <t xml:space="preserve">AUDIFONOS 7, 8 Lighnith Original </t>
  </si>
  <si>
    <t>Cargador Apple Watch USB-C Cable Original</t>
  </si>
  <si>
    <t>Cable 2m Tipo C a C  Original  (para Macbook)</t>
  </si>
  <si>
    <t>Cable Iphone Sin caja</t>
  </si>
  <si>
    <t>Soporte Macbook / Laptop</t>
  </si>
  <si>
    <t>Adaptador mini display VGA Macbook</t>
  </si>
  <si>
    <t>Cubo Original 20W</t>
  </si>
  <si>
    <t>Cable Samsung Blanco V8 Android 2A</t>
  </si>
  <si>
    <t>Cable Samsung Negro Tipo C Android 2A</t>
  </si>
  <si>
    <t>Cubo de Android fast charguer 2A / OPPO</t>
  </si>
  <si>
    <t xml:space="preserve">Correa Apple Watch </t>
  </si>
  <si>
    <t xml:space="preserve">Case Apple Watch </t>
  </si>
  <si>
    <t>Combo Teclado Retroiluminada</t>
  </si>
  <si>
    <t xml:space="preserve">Mirror Clock Alarm Clock Wireless Bluetooth Speaker </t>
  </si>
  <si>
    <t xml:space="preserve">Apple Pencil 1 Original </t>
  </si>
  <si>
    <t>iPad mini (5.ª generación)
iPad (6.ª, 7.ª, 8.ª y 9.ª generación)
iPad (10.ª generación)*
iPad Air (3.ª generación)
iPad Pro de 12,9 pulgadas (1.ª y 2.ª generación)
iPad Pro de 10,5 pulgadas
iPad Pro de 9,7 pulgadas</t>
  </si>
  <si>
    <t>Lightning Splitter</t>
  </si>
  <si>
    <t>Apple Pencil 2 Original</t>
  </si>
  <si>
    <t>iPad mini (6.ª generación)
iPad Air (4.ª generación y modelos posteriores)
iPad Pro de 12,9 pulgadas (3.ª generación y modelos posteriores)
iPad Pro de 11 pulgadas (1.ª generación y modelos posteriores)</t>
  </si>
  <si>
    <t>Magic Mouse 2 Original</t>
  </si>
  <si>
    <r>
      <rPr>
        <sz val="12"/>
        <color theme="1"/>
        <rFont val="Calibri"/>
        <family val="2"/>
      </rPr>
      <t xml:space="preserve">Compatibilidad
</t>
    </r>
    <r>
      <rPr>
        <b/>
        <sz val="12"/>
        <color theme="1"/>
        <rFont val="Calibri"/>
        <family val="2"/>
      </rPr>
      <t xml:space="preserve">Modelos de iPad
</t>
    </r>
    <r>
      <rPr>
        <sz val="12"/>
        <color theme="1"/>
        <rFont val="Calibri"/>
        <family val="2"/>
      </rPr>
      <t xml:space="preserve">iPad Pro de 12,9 pulgadas (6.ª generación)
iPad Pro de 12,9 pulgadas (5.ª generación)
iPad Pro de 12,9 pulgadas (4.ª generación)
iPad Pro de 12,9 pulgadas (3.ª generación)
iPad Pro de 12,9 pulgadas (2.ª generación)
iPad Pro de 12,9 pulgadas (1.ª generación)
iPad Pro de 11 pulgadas (4.ª generación)
iPad Pro de 11 pulgadas (3.ª generación)
iPad Pro de 11 pulgadas (2.ª generación)
iPad Pro de 11 pulgadas (1.ª generación)
iPad Pro de 10,5 pulgadas
iPad Pro de 9,7 pulgadas
iPad Air (5.ª generación)
iPad Air (4.ª generación)
iPad Air (3.ª generación)
iPad Air 2
iPad (10.ª generación)
iPad (9.ª generación)
iPad (8.ª generación)
iPad (7.ª generación)
iPad (6.ª generación)
iPad (5.ª generación)
iPad mini (6.ª generación)
iPad mini (5.ª generación)
iPad mini 4
</t>
    </r>
    <r>
      <rPr>
        <b/>
        <sz val="12"/>
        <color theme="1"/>
        <rFont val="Calibri"/>
        <family val="2"/>
      </rPr>
      <t xml:space="preserve">Modelos de Mac
</t>
    </r>
    <r>
      <rPr>
        <sz val="12"/>
        <color theme="1"/>
        <rFont val="Calibri"/>
        <family val="2"/>
      </rPr>
      <t>MacBook Air (M2, 2022)
MacBook Air (M1, 2020)
MacBook Air (Retina de 13 pulgadas, 2020)
MacBook Air (Retina de 13 pulgadas, 2018‑2019)
MacBook Air (13 pulgadas, principios de 2015‑2017)
MacBook Air (11 pulgadas, principios de 2015)
MacBook Pro (13 pulgadas, M2, 2022)
MacBook Pro (13 pulgadas, M1, 2020)
MacBook Pro (13 pulgadas, 2020)
MacBook Pro (13 pulgadas, 2016‑2019)
MacBook Pro (Retina, 13 pulgadas, finales de 2012—2015)
MacBook Pro (14 pulgadas, 2023)
MacBook Pro (14 pulgadas, 2021)
MacBook Pro (16 pulgadas, 2023)
MacBook Pro (16 pulgadas, 2021)
MacBook Pro (16 pulgadas, 2019)
MacBook Pro (15 pulgadas, 2016‑2019)
MacBook Pro (Retina, 15 pulgadas, mediados de 2012-2015)
MacBook (Retina, 12 pulgadas, principios de 2015-2017)
iMac (24 pulgadas, M1, 2021)
iMac (Retina 4K, 21,5 pulgadas, 2017)
iMac (Retina 5K de 27 pulgadas, 2019‑2020)
iMac (Retina 5K, 27 pulgadas, 2017)
iMac (Retina 5K, 27 pulgadas, finales de 2014-2015)
iMac Pro (2017)
Mac Studio (2022)
Mac mini (2023)
Mac mini (M1, 2020)
Mac mini (2018)
Mac mini (finales de 2014)
Mac Pro (2019)
Mac Pro (finales de 2013)</t>
    </r>
  </si>
  <si>
    <t>Caja para Disco Duro Externo Caddy 3.0</t>
  </si>
  <si>
    <t>Boton Home Iphone 7/7p/8/8p</t>
  </si>
  <si>
    <t xml:space="preserve">Pencil Generico </t>
  </si>
  <si>
    <t>Solo es compatible con iPad Air 5/4, iPad Pro (2022/2021/2020/2018), iPad 9/8/7/6 y iPad mini 6/5. 
No funcionará con ningún otro dispositivo. 
El accesorio magnético solo es compatible con iPad Pro (2022/2021/2020/2018) y iPad Air 5/4 (2022/2020). 
No es compatible con la carga inalámbrica.</t>
  </si>
  <si>
    <t xml:space="preserve">Case Iphone X, Xr, Xs max, 11, 11pro, 11promax </t>
  </si>
  <si>
    <t>Selfie Xiaomi</t>
  </si>
  <si>
    <t>Selfie L03</t>
  </si>
  <si>
    <t>Camara de Vigilancia Cloud Storage</t>
  </si>
  <si>
    <t>Adaptador Expansion Laptop para Celular</t>
  </si>
  <si>
    <t xml:space="preserve">Stand Wirelles Magnetico </t>
  </si>
  <si>
    <t>Mouse inalambrico importado Recargable</t>
  </si>
  <si>
    <t>Case Mac air 2018,2019 y 2020 Pro A1706 /a1708 A1989 A2159 - 2020</t>
  </si>
  <si>
    <t>Cargador Original Magsafe Iphone</t>
  </si>
  <si>
    <t>Selfie Ring Ligth</t>
  </si>
  <si>
    <t>Cable Iphone + Tipo C 2 Metros</t>
  </si>
  <si>
    <t>Cable Tipo C 2 Metros</t>
  </si>
  <si>
    <t>Cable Iphone 2 Metros</t>
  </si>
  <si>
    <t>Caja USB 3.1 Type C to M.2 NGFF SSD B-Key SATA  6Gbps</t>
  </si>
  <si>
    <t>5Gbps Micro USB 3.0 (60530)</t>
  </si>
  <si>
    <t>Protector de Cables de Cargadores</t>
  </si>
  <si>
    <t>Caja disco 2.5 SSD con Clave</t>
  </si>
  <si>
    <t>Adaptador Disco usb 3.1 Tipo C SSD</t>
  </si>
  <si>
    <t>3 in 1 15W wireless charger con Reloj</t>
  </si>
  <si>
    <t>Toma Corriente USB 8 Puertos</t>
  </si>
  <si>
    <t>Type-c to 3.5 digital audio adapter cable</t>
  </si>
  <si>
    <t>HDMI 4K HD projection hub audio and video 3 in 1 converter</t>
  </si>
  <si>
    <t>4 in 1 wireless charger (Cargador para Celular, Airpods y Watch)</t>
  </si>
  <si>
    <t>Bamboo wood wireless charger</t>
  </si>
  <si>
    <t>6 in 1 wireless charger (Cargador para Celular, Airpods y Watch)</t>
  </si>
  <si>
    <t>Hub 6 - 1 Para Surface</t>
  </si>
  <si>
    <t xml:space="preserve">Hub Tipo Parante C </t>
  </si>
  <si>
    <t>Hub 15 en 1 Tipo C</t>
  </si>
  <si>
    <t>UGREEN 4 in 1 USB3.0 Hub</t>
  </si>
  <si>
    <t>Magsafe Billetera Serie 12</t>
  </si>
  <si>
    <t xml:space="preserve">Baseus Wireless Charger for iPhone 12 Fast Charge 15W </t>
  </si>
  <si>
    <t xml:space="preserve">For Apple pencil tip 2nd generation </t>
  </si>
  <si>
    <t>Tarjeta Capturador 60Hz HDMI cable 4K to USB3.0 1080P 60fps</t>
  </si>
  <si>
    <t>Cargador Magsafe</t>
  </si>
  <si>
    <t>RCA audio cable 1m</t>
  </si>
  <si>
    <t>RCA audio cable 3M</t>
  </si>
  <si>
    <t>HD to USB 2.0 Capture</t>
  </si>
  <si>
    <t>mini DP to HDMI+VGA+DVI+Audio</t>
  </si>
  <si>
    <t>Mini DP to HDMI Adapter 4K*2K</t>
  </si>
  <si>
    <t>Cargador de Corriente para Auto</t>
  </si>
  <si>
    <t xml:space="preserve">M23 TWS  Wireless Bluetooth Headphones </t>
  </si>
  <si>
    <t>BT earbuds</t>
  </si>
  <si>
    <t>Microphone mobile phone shooting live broadcast</t>
  </si>
  <si>
    <t>Wireless gaming mouse recargable</t>
  </si>
  <si>
    <t>Baseus Capacitive pen</t>
  </si>
  <si>
    <t>COMPATIBLE CON LOS SIGUIENTE MODELOS DE IPAD
iPad 9.7´ 6ta Generación 2018 (A1893/A1954)
iPad Pro 11´ 2018 (A1980/A2013/A1934/A1979)
iPad Pro 12.9´ 2018 (A1876/A2014/A1895/A1983)
iPad 10.2´ 7ma Generación 2019 (A2197/A2200/A2198)
iPad 10.2´8va Generación 2020 (A2270/A2428/A2429/A2430)
iPad Air 3 10.5´ 2019 (A2152/A2123/A2153/A2154)
iPad Mini 5 2019 (A2133/A2124/A2126/A2125)
iPad Pro 11´ 2020 (A2228/A2068/A2230/A2231)
iPad Pro 12.9´ 2020 (A2229/A2069/A2232/A2233)
iPad 10.2´ 8va Generación 2020 (A2270/A2428/A2429/A2430)
iPad Air 4 10.9´ 2020 (A2316/A2324/A2325/A2072)
iPad Pro 11 2021 M1 (A2377/A2459/A2301/A2460)
iPad Pro 12.9´ 2021 M1 (A2378/A2461/A2379/A2462)
iPad 10.2´ 9na Generación 2021 (A2602/A2604/A2603/A2605)
iPad Mini 6 2021 (A2567/A2568/A2569)</t>
  </si>
  <si>
    <t xml:space="preserve">UGREEN Capacitive pen </t>
  </si>
  <si>
    <t>Compatible para iPad: 
iPad Pro de 11 pulgadas
iPad Pro de 12,9 pulgadas
iPad Gen 6 2018, iPad Air 3
iPad mini 5</t>
  </si>
  <si>
    <t>Mouse inalámbrico para juegos con Pilas</t>
  </si>
  <si>
    <t>Cargador de escritorio 6 USB 50W</t>
  </si>
  <si>
    <t xml:space="preserve">
Clip de coche para teléfono o tablet</t>
  </si>
  <si>
    <t xml:space="preserve">
escritorio de soporte de coche</t>
  </si>
  <si>
    <t>Laptop stand</t>
  </si>
  <si>
    <t>J10 
Auriculares</t>
  </si>
  <si>
    <t>J1
Auriculares</t>
  </si>
  <si>
    <t>J20 RGB 
Auriculares</t>
  </si>
  <si>
    <t>J5 RGB 
Auriculares</t>
  </si>
  <si>
    <t>X9A Cargador inalámbrico rápido para automóvil 2 en 1</t>
  </si>
  <si>
    <t>X9taza de carga inalámbrica</t>
  </si>
  <si>
    <t>Soporte para portátil Orico con hub 4*USB</t>
  </si>
  <si>
    <t xml:space="preserve">Autofocus 1080p/2K camera </t>
  </si>
  <si>
    <t xml:space="preserve">Case Ipad
</t>
  </si>
  <si>
    <t>Cargador magnético Alu+vidrio 15W estándar Qi</t>
  </si>
  <si>
    <t xml:space="preserve">
Cargador inalámbrico para coche con sensor de infrarrojos inteligente R2</t>
  </si>
  <si>
    <t>G2000 Auriculares</t>
  </si>
  <si>
    <t xml:space="preserve">
4 puertos QC3.0 carga rápida 40W cargador multipuerto PD</t>
  </si>
  <si>
    <t xml:space="preserve">
Soporte portátil de aluminio para computadora portátil</t>
  </si>
  <si>
    <t xml:space="preserve">
Mesa de ordenador plegable con alfombrilla de Mouse</t>
  </si>
  <si>
    <t>C5 notebook cooler</t>
  </si>
  <si>
    <t>054S2 Soporte para portátil con ventilador</t>
  </si>
  <si>
    <t>S6 Cooler con 2 USB+ ajuste de velocidad</t>
  </si>
  <si>
    <t>038S5 Cooler con pantalla led</t>
  </si>
  <si>
    <t>021S RGB Cooler con aire frio</t>
  </si>
  <si>
    <t xml:space="preserve">
Cargador inalámbrico multifuncional Taza de termostato inteligente de 55 grados</t>
  </si>
  <si>
    <t>Cargador inalámbrico multifuncional 3 en 1</t>
  </si>
  <si>
    <t>mochila de carga USB de gran capacidad negra o plomo</t>
  </si>
  <si>
    <t>mochila de carga USB de gran capacidad plomo</t>
  </si>
  <si>
    <t xml:space="preserve">
Mochila de viaje de ocio de gran capacidad para hombre.</t>
  </si>
  <si>
    <t xml:space="preserve">
Mochila con carga USB de gran capacidad plomo oscuro de bolsillos</t>
  </si>
  <si>
    <t>Soporte de telefono para 
Portavasos de Auto</t>
  </si>
  <si>
    <t xml:space="preserve">
Soporte superior para teléfono móvil</t>
  </si>
  <si>
    <t xml:space="preserve">vlog set 
microphone + tripod + mobile phone clip + fill light </t>
  </si>
  <si>
    <t xml:space="preserve">Vlog video shooting set </t>
  </si>
  <si>
    <t>Cargador inalámbrico de alta potencia
bocina Bluetooth</t>
  </si>
  <si>
    <t>Convertidor de coche de 150W (12V a 220V)</t>
  </si>
  <si>
    <t>B2 cargador inalámbrico para taza de coche</t>
  </si>
  <si>
    <t>Reloj multifunción y carga inalámbrica de termómetro.</t>
  </si>
  <si>
    <t>K820 Teclado mecánico</t>
  </si>
  <si>
    <t>940 Teclado mecánico</t>
  </si>
  <si>
    <t>K109 Teclado mecánico de una mano</t>
  </si>
  <si>
    <t>Puerto tipo C 3.1 de 10 Gbps</t>
  </si>
  <si>
    <t>10 in 1 Hub</t>
  </si>
  <si>
    <t xml:space="preserve">Multifunctional Car Mount </t>
  </si>
  <si>
    <t>Cable Tipo C a DP 1.8M Negro</t>
  </si>
  <si>
    <t xml:space="preserve">
Soporte para portátil aleación de aluminio color plata</t>
  </si>
  <si>
    <t>1.5M Iphone cable+ 20W PD charger</t>
  </si>
  <si>
    <t>Soporte vertical para computadora portátil Soporte de almacenamiento vertical doble</t>
  </si>
  <si>
    <t>cargador inalámbrico+1 USB 3.0+ 3 USD 2.0 estación base de almacenamiento de escritoriotop storage base station</t>
  </si>
  <si>
    <t>sin CODIGO</t>
  </si>
  <si>
    <t>Soporte para celulares</t>
  </si>
  <si>
    <t>CADDY Lectora disco extraible</t>
  </si>
  <si>
    <t>San Isidro</t>
  </si>
  <si>
    <t>Miraflores</t>
  </si>
  <si>
    <t>Surco</t>
  </si>
  <si>
    <t>San Miguel</t>
  </si>
  <si>
    <t>Ica</t>
  </si>
  <si>
    <t>Cono Norte</t>
  </si>
  <si>
    <t>Total</t>
  </si>
  <si>
    <t>Pantalla Laptop</t>
  </si>
  <si>
    <t>Pantalla Laptop 14.0 Slim 40pin HD 1366*768 Normal</t>
  </si>
  <si>
    <t>adaptador de bateria</t>
  </si>
  <si>
    <t>cantidad  (SAN ISIDRO)</t>
  </si>
  <si>
    <t>FLEX DE FACEID</t>
  </si>
  <si>
    <t>CANTIDAD (SAN ISIDRO)</t>
  </si>
  <si>
    <t>SMC</t>
  </si>
  <si>
    <t>modelo</t>
  </si>
  <si>
    <t>cantidad</t>
  </si>
  <si>
    <t>820-00165</t>
  </si>
  <si>
    <t>a1466</t>
  </si>
  <si>
    <t>11P/11PM</t>
  </si>
  <si>
    <t>820-3462</t>
  </si>
  <si>
    <t>a1425</t>
  </si>
  <si>
    <t>12MINI / 12 PRO</t>
  </si>
  <si>
    <t>820-3115</t>
  </si>
  <si>
    <t>12PM</t>
  </si>
  <si>
    <t>820-00239 /820-00923</t>
  </si>
  <si>
    <t>a1706</t>
  </si>
  <si>
    <t>820-3787</t>
  </si>
  <si>
    <t>a1398 2014</t>
  </si>
  <si>
    <t>820-00281 / 820-00928</t>
  </si>
  <si>
    <t>a1707</t>
  </si>
  <si>
    <t>820-00163</t>
  </si>
  <si>
    <t>a1398 2015</t>
  </si>
  <si>
    <t>slg3nb148a</t>
  </si>
  <si>
    <t>circuito Wifi 6s</t>
  </si>
  <si>
    <t>820-00840 /820-00875</t>
  </si>
  <si>
    <t>a1708</t>
  </si>
  <si>
    <t>isl9553</t>
  </si>
  <si>
    <t>Audio 7/7p</t>
  </si>
  <si>
    <t>820-3332</t>
  </si>
  <si>
    <t>a1398 2012</t>
  </si>
  <si>
    <t>isl6259</t>
  </si>
  <si>
    <t>Circuito audio 7/7p</t>
  </si>
  <si>
    <t>820-3662</t>
  </si>
  <si>
    <t>a1398 2013/2014</t>
  </si>
  <si>
    <t>jhl7540</t>
  </si>
  <si>
    <t>Tristar A3</t>
  </si>
  <si>
    <t>820-4924</t>
  </si>
  <si>
    <t>a1502 2015</t>
  </si>
  <si>
    <t>CD3217B12</t>
  </si>
  <si>
    <t>Hydra iphone 11</t>
  </si>
  <si>
    <t>820-3476</t>
  </si>
  <si>
    <t>a1502 2014</t>
  </si>
  <si>
    <t>CD3215C00Z</t>
  </si>
  <si>
    <t>820-3536</t>
  </si>
  <si>
    <t>a1502 2013</t>
  </si>
  <si>
    <t>SY8288CRAC</t>
  </si>
  <si>
    <t>PMIC 338500267</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</si>
</sst>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xmlns:xr9="http://schemas.microsoft.com/office/spreadsheetml/2016/revision9" mc:Ignorable="x14ac x16r2 xr xr9">
  <numFmts count="4">
    <numFmt numFmtId="164" formatCode="_-[$S/-280A]\ * #,##0.00_-;\-[$S/-280A]\ * #,##0.00_-;_-[$S/-280A]\ * &quot;-&quot;??_-;_-@"/>
    <numFmt numFmtId="165" formatCode="_-[$S/.-280A]* #,##0.00_-;\-[$S/.-280A]* #,##0.00_-;_-[$S/.-280A]* &quot;-&quot;??_-;_-@"/>
    <numFmt numFmtId="168" formatCode="_ &quot;S/.&quot;\ * #,##0.00_ ;_ &quot;S/.&quot;\ * \-#,##0.00_ ;_ &quot;S/.&quot;\ * &quot;-&quot;??_ ;_ @_ "/>
    <numFmt numFmtId="169" formatCode="[$S/.]#,##0.00"/>
  </numFmts>
  <fonts count="19" x14ac:knownFonts="1">
    <font>
      <sz val="10"/>
      <color rgb="FF000000"/>
      <name val="Calibri"/>
      <scheme val="minor"/>
    </font>
    <font>
      <sz val="10"/>
      <color theme="1"/>
      <name val="Calibri"/>
      <family val="2"/>
      <scheme val="minor"/>
    </font>
    <font>
      <b/>
      <sz val="10"/>
      <color theme="1"/>
      <name val="Calibri"/>
      <family val="2"/>
      <scheme val="minor"/>
    </font>
    <font>
      <sz val="12"/>
      <color theme="1"/>
      <name val="Calibri"/>
      <family val="2"/>
    </font>
    <font>
      <b/>
      <sz val="12"/>
      <color theme="1"/>
      <name val="Calibri"/>
      <family val="2"/>
    </font>
    <font>
      <b/>
      <sz val="11"/>
      <color rgb="FF000000"/>
      <name val="Calibri"/>
      <family val="2"/>
    </font>
    <font>
      <sz val="10"/>
      <name val="Calibri"/>
      <family val="2"/>
    </font>
    <font>
      <b/>
      <sz val="16"/>
      <color theme="1"/>
      <name val="Calibri"/>
      <family val="2"/>
    </font>
    <font>
      <sz val="16"/>
      <color theme="1"/>
      <name val="Calibri"/>
      <family val="2"/>
    </font>
    <font>
      <sz val="11"/>
      <color rgb="FF000000"/>
      <name val="Calibri"/>
      <family val="2"/>
    </font>
    <font>
      <sz val="16"/>
      <color rgb="FF000000"/>
      <name val="Calibri"/>
      <family val="2"/>
    </font>
    <font>
      <sz val="16"/>
      <color rgb="FFFF0000"/>
      <name val="Calibri"/>
      <family val="2"/>
    </font>
    <font>
      <sz val="14"/>
      <color theme="1"/>
      <name val="Calibri"/>
      <family val="2"/>
    </font>
    <font>
      <sz val="15"/>
      <color theme="1"/>
      <name val="Calibri"/>
      <family val="2"/>
    </font>
    <font>
      <sz val="9"/>
      <color theme="1"/>
      <name val="Calibri"/>
      <family val="2"/>
    </font>
    <font>
      <sz val="11"/>
      <color theme="1"/>
      <name val="Calibri"/>
      <family val="2"/>
    </font>
    <font>
      <b/>
      <sz val="12"/>
      <color rgb="FF000000"/>
      <name val="Calibri"/>
      <family val="2"/>
    </font>
    <font>
      <sz val="10"/>
      <color rgb="FF000000"/>
      <name val="Calibri"/>
      <family val="2"/>
    </font>
    <font>
      <sz val="11"/>
      <color rgb="FF000000"/>
      <name val="Inconsolata"/>
    </font>
  </fonts>
  <fills count="12">
    <fill>
      <patternFill patternType="none"/>
    </fill>
    <fill>
      <patternFill patternType="gray125"/>
    </fill>
    <fill>
      <patternFill patternType="solid">
        <fgColor rgb="FFFFFF00"/>
        <bgColor rgb="FFFFFF00"/>
      </patternFill>
    </fill>
    <fill>
      <patternFill patternType="solid">
        <fgColor rgb="FF93C47D"/>
        <bgColor rgb="FF93C47D"/>
      </patternFill>
    </fill>
    <fill>
      <patternFill patternType="solid">
        <fgColor rgb="FFF4E2FF"/>
        <bgColor rgb="FFF4E2FF"/>
      </patternFill>
    </fill>
    <fill>
      <patternFill patternType="solid">
        <fgColor rgb="FFFFFFFF"/>
        <bgColor rgb="FFFFFFFF"/>
      </patternFill>
    </fill>
    <fill>
      <patternFill patternType="solid">
        <fgColor rgb="FF000000"/>
        <bgColor rgb="FF000000"/>
      </patternFill>
    </fill>
    <fill>
      <patternFill patternType="solid">
        <fgColor rgb="FF00B050"/>
        <bgColor rgb="FF00B050"/>
      </patternFill>
    </fill>
    <fill>
      <patternFill patternType="solid">
        <fgColor rgb="FFFFF2CC"/>
        <bgColor rgb="FFFFF2CC"/>
      </patternFill>
    </fill>
    <fill>
      <patternFill patternType="solid">
        <fgColor rgb="FFD9E2F3"/>
        <bgColor rgb="FFD9E2F3"/>
      </patternFill>
    </fill>
    <fill>
      <patternFill patternType="solid">
        <fgColor rgb="FFD8D8D8"/>
        <bgColor rgb="FFD8D8D8"/>
      </patternFill>
    </fill>
    <fill>
      <patternFill patternType="solid">
        <fgColor rgb="FFF3F3F3"/>
        <bgColor rgb="FFF3F3F3"/>
      </patternFill>
    </fill>
  </fills>
  <borders count="10">
    <border>
      <left/>
      <right/>
      <top/>
      <bottom/>
      <diagonal/>
    </border>
    <border>
      <left style="thin">
        <color rgb="FF000000"/>
      </left>
      <right style="thin">
        <color rgb="FF000000"/>
      </right>
      <top style="thin">
        <color rgb="FF000000"/>
      </top>
      <bottom style="thin">
        <color rgb="FF000000"/>
      </bottom>
      <diagonal/>
    </border>
    <border>
      <left/>
      <right style="thin">
        <color rgb="FF000000"/>
      </right>
      <top style="thin">
        <color rgb="FF000000"/>
      </top>
      <bottom style="thin">
        <color rgb="FF000000"/>
      </bottom>
      <diagonal/>
    </border>
    <border>
      <left style="thin">
        <color rgb="FF000000"/>
      </left>
      <right style="thin">
        <color rgb="FF000000"/>
      </right>
      <top/>
      <bottom style="thin">
        <color rgb="FF000000"/>
      </bottom>
      <diagonal/>
    </border>
    <border>
      <left/>
      <right style="thin">
        <color rgb="FF000000"/>
      </right>
      <top/>
      <bottom style="thin">
        <color rgb="FF000000"/>
      </bottom>
      <diagonal/>
    </border>
    <border>
      <left style="thin">
        <color rgb="FF000000"/>
      </left>
      <right/>
      <top style="thin">
        <color rgb="FF000000"/>
      </top>
      <bottom style="thin">
        <color rgb="FF000000"/>
      </bottom>
      <diagonal/>
    </border>
    <border>
      <left style="thin">
        <color rgb="FF000000"/>
      </left>
      <right style="thin">
        <color rgb="FF000000"/>
      </right>
      <top style="thin">
        <color rgb="FF000000"/>
      </top>
      <bottom/>
      <diagonal/>
    </border>
    <border>
      <left style="thin">
        <color rgb="FF000000"/>
      </left>
      <right/>
      <top style="thin">
        <color rgb="FF000000"/>
      </top>
      <bottom/>
      <diagonal/>
    </border>
    <border>
      <left/>
      <right style="thin">
        <color rgb="FF000000"/>
      </right>
      <top style="thin">
        <color rgb="FF000000"/>
      </top>
      <bottom/>
      <diagonal/>
    </border>
    <border>
      <left style="thin">
        <color rgb="FF000000"/>
      </left>
      <right/>
      <top/>
      <bottom style="thin">
        <color rgb="FF000000"/>
      </bottom>
      <diagonal/>
    </border>
  </borders>
  <cellStyleXfs count="1">
    <xf numFmtId="0" fontId="0" fillId="0" borderId="0"/>
  </cellStyleXfs>
  <cellXfs count="91">
    <xf numFmtId="0" fontId="0" fillId="0" borderId="0" xfId="0"/>
    <xf numFmtId="0" fontId="1" fillId="4" borderId="1" xfId="0" applyFont="1" applyFill="1" applyBorder="1" applyAlignment="1">
      <alignment vertical="center"/>
    </xf>
    <xf numFmtId="0" fontId="7" fillId="0" borderId="1" xfId="0" applyFont="1" applyBorder="1" applyAlignment="1">
      <alignment horizontal="center" vertical="center" wrapText="1"/>
    </xf>
    <xf numFmtId="165" fontId="7" fillId="0" borderId="5" xfId="0" applyNumberFormat="1" applyFont="1" applyBorder="1" applyAlignment="1">
      <alignment horizontal="center" vertical="center" wrapText="1"/>
    </xf>
    <xf numFmtId="165" fontId="7" fillId="8" borderId="2" xfId="0" applyNumberFormat="1" applyFont="1" applyFill="1" applyBorder="1" applyAlignment="1">
      <alignment horizontal="center" vertical="center" wrapText="1"/>
    </xf>
    <xf numFmtId="165" fontId="7" fillId="0" borderId="0" xfId="0" applyNumberFormat="1" applyFont="1" applyAlignment="1">
      <alignment horizontal="center" vertical="center" wrapText="1"/>
    </xf>
    <xf numFmtId="0" fontId="8" fillId="0" borderId="1" xfId="0" applyFont="1" applyBorder="1" applyAlignment="1">
      <alignment horizontal="right" vertical="center" wrapText="1"/>
    </xf>
    <xf numFmtId="168" fontId="8" fillId="0" borderId="5" xfId="0" applyNumberFormat="1" applyFont="1" applyBorder="1" applyAlignment="1">
      <alignment vertical="center" wrapText="1"/>
    </xf>
    <xf numFmtId="165" fontId="8" fillId="0" borderId="5" xfId="0" applyNumberFormat="1" applyFont="1" applyBorder="1" applyAlignment="1">
      <alignment horizontal="center" vertical="center" wrapText="1"/>
    </xf>
    <xf numFmtId="169" fontId="8" fillId="8" borderId="2" xfId="0" applyNumberFormat="1" applyFont="1" applyFill="1" applyBorder="1" applyAlignment="1">
      <alignment horizontal="center" vertical="center" wrapText="1"/>
    </xf>
    <xf numFmtId="169" fontId="8" fillId="0" borderId="1" xfId="0" applyNumberFormat="1" applyFont="1" applyBorder="1" applyAlignment="1">
      <alignment horizontal="center" vertical="center" wrapText="1"/>
    </xf>
    <xf numFmtId="169" fontId="8" fillId="0" borderId="0" xfId="0" applyNumberFormat="1" applyFont="1" applyAlignment="1">
      <alignment vertical="center" wrapText="1"/>
    </xf>
    <xf numFmtId="165" fontId="7" fillId="0" borderId="2" xfId="0" applyNumberFormat="1" applyFont="1" applyBorder="1" applyAlignment="1">
      <alignment horizontal="center" vertical="center" wrapText="1"/>
    </xf>
    <xf numFmtId="165" fontId="8" fillId="0" borderId="2" xfId="0" applyNumberFormat="1" applyFont="1" applyBorder="1" applyAlignment="1">
      <alignment horizontal="center" vertical="center" wrapText="1"/>
    </xf>
    <xf numFmtId="165" fontId="9" fillId="0" borderId="5" xfId="0" applyNumberFormat="1" applyFont="1" applyBorder="1" applyAlignment="1">
      <alignment horizontal="center" vertical="center"/>
    </xf>
    <xf numFmtId="165" fontId="9" fillId="0" borderId="2" xfId="0" applyNumberFormat="1" applyFont="1" applyBorder="1" applyAlignment="1">
      <alignment horizontal="center" vertical="center"/>
    </xf>
    <xf numFmtId="169" fontId="9" fillId="0" borderId="0" xfId="0" applyNumberFormat="1" applyFont="1" applyAlignment="1">
      <alignment horizontal="right" vertical="center"/>
    </xf>
    <xf numFmtId="165" fontId="10" fillId="0" borderId="5" xfId="0" applyNumberFormat="1" applyFont="1" applyBorder="1" applyAlignment="1">
      <alignment horizontal="center" vertical="center"/>
    </xf>
    <xf numFmtId="0" fontId="11" fillId="0" borderId="1" xfId="0" applyFont="1" applyBorder="1" applyAlignment="1">
      <alignment horizontal="right" vertical="center" wrapText="1"/>
    </xf>
    <xf numFmtId="168" fontId="11" fillId="0" borderId="5" xfId="0" applyNumberFormat="1" applyFont="1" applyBorder="1" applyAlignment="1">
      <alignment vertical="center" wrapText="1"/>
    </xf>
    <xf numFmtId="165" fontId="11" fillId="0" borderId="5" xfId="0" applyNumberFormat="1" applyFont="1" applyBorder="1" applyAlignment="1">
      <alignment horizontal="center" vertical="center" wrapText="1"/>
    </xf>
    <xf numFmtId="165" fontId="11" fillId="0" borderId="2" xfId="0" applyNumberFormat="1" applyFont="1" applyBorder="1" applyAlignment="1">
      <alignment horizontal="center" vertical="center" wrapText="1"/>
    </xf>
    <xf numFmtId="169" fontId="11" fillId="0" borderId="0" xfId="0" applyNumberFormat="1" applyFont="1" applyAlignment="1">
      <alignment vertical="center" wrapText="1"/>
    </xf>
    <xf numFmtId="165" fontId="12" fillId="0" borderId="5" xfId="0" applyNumberFormat="1" applyFont="1" applyBorder="1" applyAlignment="1">
      <alignment horizontal="left" vertical="center" wrapText="1"/>
    </xf>
    <xf numFmtId="165" fontId="3" fillId="0" borderId="5" xfId="0" applyNumberFormat="1" applyFont="1" applyBorder="1" applyAlignment="1">
      <alignment horizontal="left" vertical="center" wrapText="1"/>
    </xf>
    <xf numFmtId="0" fontId="8" fillId="6" borderId="1" xfId="0" applyFont="1" applyFill="1" applyBorder="1" applyAlignment="1">
      <alignment horizontal="right" vertical="center" wrapText="1"/>
    </xf>
    <xf numFmtId="168" fontId="8" fillId="6" borderId="5" xfId="0" applyNumberFormat="1" applyFont="1" applyFill="1" applyBorder="1" applyAlignment="1">
      <alignment vertical="center" wrapText="1"/>
    </xf>
    <xf numFmtId="165" fontId="8" fillId="6" borderId="5" xfId="0" applyNumberFormat="1" applyFont="1" applyFill="1" applyBorder="1" applyAlignment="1">
      <alignment horizontal="center" vertical="center" wrapText="1"/>
    </xf>
    <xf numFmtId="165" fontId="8" fillId="6" borderId="2" xfId="0" applyNumberFormat="1" applyFont="1" applyFill="1" applyBorder="1" applyAlignment="1">
      <alignment horizontal="center" vertical="center" wrapText="1"/>
    </xf>
    <xf numFmtId="169" fontId="8" fillId="6" borderId="2" xfId="0" applyNumberFormat="1" applyFont="1" applyFill="1" applyBorder="1" applyAlignment="1">
      <alignment horizontal="center" vertical="center" wrapText="1"/>
    </xf>
    <xf numFmtId="169" fontId="8" fillId="6" borderId="1" xfId="0" applyNumberFormat="1" applyFont="1" applyFill="1" applyBorder="1" applyAlignment="1">
      <alignment horizontal="center" vertical="center" wrapText="1"/>
    </xf>
    <xf numFmtId="169" fontId="8" fillId="6" borderId="0" xfId="0" applyNumberFormat="1" applyFont="1" applyFill="1" applyAlignment="1">
      <alignment vertical="center" wrapText="1"/>
    </xf>
    <xf numFmtId="165" fontId="13" fillId="0" borderId="5" xfId="0" applyNumberFormat="1" applyFont="1" applyBorder="1" applyAlignment="1">
      <alignment horizontal="left" vertical="center" wrapText="1"/>
    </xf>
    <xf numFmtId="0" fontId="1" fillId="0" borderId="5" xfId="0" applyFont="1" applyBorder="1" applyAlignment="1">
      <alignment horizontal="center"/>
    </xf>
    <xf numFmtId="168" fontId="8" fillId="0" borderId="5" xfId="0" applyNumberFormat="1" applyFont="1" applyBorder="1" applyAlignment="1">
      <alignment horizontal="center" vertical="center" wrapText="1"/>
    </xf>
    <xf numFmtId="169" fontId="9" fillId="9" borderId="0" xfId="0" applyNumberFormat="1" applyFont="1" applyFill="1" applyAlignment="1">
      <alignment horizontal="right" vertical="center"/>
    </xf>
    <xf numFmtId="165" fontId="14" fillId="0" borderId="5" xfId="0" applyNumberFormat="1" applyFont="1" applyBorder="1" applyAlignment="1">
      <alignment horizontal="left" vertical="center" wrapText="1"/>
    </xf>
    <xf numFmtId="165" fontId="8" fillId="0" borderId="5" xfId="0" applyNumberFormat="1" applyFont="1" applyBorder="1" applyAlignment="1">
      <alignment horizontal="left" vertical="center" wrapText="1"/>
    </xf>
    <xf numFmtId="0" fontId="9" fillId="10" borderId="4" xfId="0" applyFont="1" applyFill="1" applyBorder="1" applyAlignment="1">
      <alignment horizontal="right" vertical="center"/>
    </xf>
    <xf numFmtId="0" fontId="8" fillId="0" borderId="1" xfId="0" applyFont="1" applyBorder="1" applyAlignment="1">
      <alignment vertical="center" wrapText="1"/>
    </xf>
    <xf numFmtId="165" fontId="8" fillId="0" borderId="5" xfId="0" applyNumberFormat="1" applyFont="1" applyBorder="1" applyAlignment="1">
      <alignment vertical="center" wrapText="1"/>
    </xf>
    <xf numFmtId="0" fontId="1" fillId="0" borderId="0" xfId="0" applyFont="1" applyAlignment="1">
      <alignment horizontal="left"/>
    </xf>
    <xf numFmtId="0" fontId="1" fillId="5" borderId="0" xfId="0" applyFont="1" applyFill="1"/>
    <xf numFmtId="0" fontId="1" fillId="2" borderId="1" xfId="0" applyFont="1" applyFill="1" applyBorder="1" applyAlignment="1">
      <alignment horizontal="center" vertical="center" wrapText="1"/>
    </xf>
    <xf numFmtId="0" fontId="1" fillId="7" borderId="1" xfId="0" applyFont="1" applyFill="1" applyBorder="1" applyAlignment="1">
      <alignment horizontal="center" vertical="center" wrapText="1"/>
    </xf>
    <xf numFmtId="0" fontId="15" fillId="10" borderId="4" xfId="0" applyFont="1" applyFill="1" applyBorder="1"/>
    <xf numFmtId="0" fontId="15" fillId="9" borderId="2" xfId="0" applyFont="1" applyFill="1" applyBorder="1" applyAlignment="1">
      <alignment horizontal="right"/>
    </xf>
    <xf numFmtId="3" fontId="15" fillId="5" borderId="2" xfId="0" applyNumberFormat="1" applyFont="1" applyFill="1" applyBorder="1" applyAlignment="1">
      <alignment horizontal="left"/>
    </xf>
    <xf numFmtId="3" fontId="15" fillId="5" borderId="2" xfId="0" applyNumberFormat="1" applyFont="1" applyFill="1" applyBorder="1" applyAlignment="1">
      <alignment horizontal="right"/>
    </xf>
    <xf numFmtId="169" fontId="15" fillId="5" borderId="2" xfId="0" applyNumberFormat="1" applyFont="1" applyFill="1" applyBorder="1" applyAlignment="1">
      <alignment horizontal="right"/>
    </xf>
    <xf numFmtId="0" fontId="15" fillId="9" borderId="4" xfId="0" applyFont="1" applyFill="1" applyBorder="1"/>
    <xf numFmtId="0" fontId="15" fillId="9" borderId="4" xfId="0" applyFont="1" applyFill="1" applyBorder="1" applyAlignment="1">
      <alignment horizontal="right"/>
    </xf>
    <xf numFmtId="3" fontId="15" fillId="5" borderId="4" xfId="0" applyNumberFormat="1" applyFont="1" applyFill="1" applyBorder="1" applyAlignment="1">
      <alignment horizontal="right"/>
    </xf>
    <xf numFmtId="0" fontId="15" fillId="10" borderId="4" xfId="0" applyFont="1" applyFill="1" applyBorder="1" applyAlignment="1">
      <alignment horizontal="right"/>
    </xf>
    <xf numFmtId="0" fontId="1" fillId="5" borderId="1" xfId="0" applyFont="1" applyFill="1" applyBorder="1"/>
    <xf numFmtId="0" fontId="5" fillId="0" borderId="1" xfId="0" applyFont="1" applyBorder="1" applyAlignment="1">
      <alignment horizontal="center"/>
    </xf>
    <xf numFmtId="0" fontId="5" fillId="0" borderId="2" xfId="0" applyFont="1" applyBorder="1" applyAlignment="1">
      <alignment horizontal="center"/>
    </xf>
    <xf numFmtId="0" fontId="2" fillId="0" borderId="1" xfId="0" applyFont="1" applyBorder="1"/>
    <xf numFmtId="0" fontId="16" fillId="0" borderId="1" xfId="0" applyFont="1" applyBorder="1"/>
    <xf numFmtId="0" fontId="16" fillId="0" borderId="2" xfId="0" applyFont="1" applyBorder="1"/>
    <xf numFmtId="0" fontId="9" fillId="0" borderId="3" xfId="0" applyFont="1" applyBorder="1" applyAlignment="1">
      <alignment horizontal="center"/>
    </xf>
    <xf numFmtId="0" fontId="9" fillId="0" borderId="4" xfId="0" applyFont="1" applyBorder="1" applyAlignment="1">
      <alignment horizontal="center"/>
    </xf>
    <xf numFmtId="0" fontId="1" fillId="0" borderId="1" xfId="0" applyFont="1" applyBorder="1"/>
    <xf numFmtId="0" fontId="9" fillId="0" borderId="3" xfId="0" applyFont="1" applyBorder="1"/>
    <xf numFmtId="0" fontId="9" fillId="0" borderId="4" xfId="0" applyFont="1" applyBorder="1"/>
    <xf numFmtId="0" fontId="9" fillId="0" borderId="4" xfId="0" applyFont="1" applyBorder="1" applyAlignment="1">
      <alignment horizontal="right"/>
    </xf>
    <xf numFmtId="0" fontId="9" fillId="0" borderId="1" xfId="0" applyFont="1" applyBorder="1"/>
    <xf numFmtId="0" fontId="17" fillId="11" borderId="1" xfId="0" applyFont="1" applyFill="1" applyBorder="1"/>
    <xf numFmtId="0" fontId="17" fillId="5" borderId="3" xfId="0" applyFont="1" applyFill="1" applyBorder="1"/>
    <xf numFmtId="0" fontId="17" fillId="11" borderId="3" xfId="0" applyFont="1" applyFill="1" applyBorder="1"/>
    <xf numFmtId="0" fontId="9" fillId="0" borderId="3" xfId="0" applyFont="1" applyBorder="1" applyAlignment="1">
      <alignment horizontal="right"/>
    </xf>
    <xf numFmtId="0" fontId="2" fillId="2" borderId="1" xfId="0" applyFont="1" applyFill="1" applyBorder="1"/>
    <xf numFmtId="0" fontId="2" fillId="3" borderId="1" xfId="0" applyFont="1" applyFill="1" applyBorder="1"/>
    <xf numFmtId="0" fontId="2" fillId="2" borderId="0" xfId="0" applyFont="1" applyFill="1"/>
    <xf numFmtId="0" fontId="18" fillId="5" borderId="0" xfId="0" applyFont="1" applyFill="1"/>
    <xf numFmtId="164" fontId="1" fillId="0" borderId="1" xfId="0" applyNumberFormat="1" applyFont="1" applyBorder="1"/>
    <xf numFmtId="164" fontId="2" fillId="0" borderId="1" xfId="0" applyNumberFormat="1" applyFont="1" applyBorder="1"/>
    <xf numFmtId="0" fontId="2" fillId="0" borderId="0" xfId="0" applyFont="1"/>
    <xf numFmtId="0" fontId="1" fillId="0" borderId="0" xfId="0" applyFont="1"/>
    <xf numFmtId="164" fontId="1" fillId="0" borderId="0" xfId="0" applyNumberFormat="1" applyFont="1"/>
    <xf numFmtId="164" fontId="2" fillId="0" borderId="0" xfId="0" applyNumberFormat="1" applyFont="1"/>
    <xf numFmtId="0" fontId="6" fillId="0" borderId="2" xfId="0" applyFont="1" applyBorder="1"/>
    <xf numFmtId="165" fontId="7" fillId="0" borderId="5" xfId="0" applyNumberFormat="1" applyFont="1" applyBorder="1" applyAlignment="1">
      <alignment horizontal="center" vertical="center" wrapText="1"/>
    </xf>
    <xf numFmtId="165" fontId="8" fillId="0" borderId="5" xfId="0" applyNumberFormat="1" applyFont="1" applyBorder="1" applyAlignment="1">
      <alignment horizontal="center" vertical="center" wrapText="1"/>
    </xf>
    <xf numFmtId="165" fontId="10" fillId="0" borderId="5" xfId="0" applyNumberFormat="1" applyFont="1" applyBorder="1" applyAlignment="1">
      <alignment horizontal="center" vertical="center"/>
    </xf>
    <xf numFmtId="0" fontId="8" fillId="0" borderId="6" xfId="0" applyFont="1" applyBorder="1" applyAlignment="1">
      <alignment horizontal="right" vertical="center" wrapText="1"/>
    </xf>
    <xf numFmtId="0" fontId="6" fillId="0" borderId="3" xfId="0" applyFont="1" applyBorder="1"/>
    <xf numFmtId="168" fontId="8" fillId="0" borderId="7" xfId="0" applyNumberFormat="1" applyFont="1" applyBorder="1" applyAlignment="1">
      <alignment vertical="center" wrapText="1"/>
    </xf>
    <xf numFmtId="0" fontId="6" fillId="0" borderId="9" xfId="0" applyFont="1" applyBorder="1"/>
    <xf numFmtId="169" fontId="8" fillId="8" borderId="8" xfId="0" applyNumberFormat="1" applyFont="1" applyFill="1" applyBorder="1" applyAlignment="1">
      <alignment horizontal="center" vertical="center" wrapText="1"/>
    </xf>
    <xf numFmtId="0" fontId="6" fillId="0" borderId="4" xfId="0" applyFont="1" applyBorder="1"/>
  </cellXfs>
  <cellStyles count="1">
    <cellStyle name="Normal" xfId="0" builtinId="0"/>
  </cellStyles>
  <dxfs count="6">
    <dxf>
      <fill>
        <patternFill patternType="solid">
          <fgColor rgb="FFFF0000"/>
          <bgColor rgb="FFFF0000"/>
        </patternFill>
      </fill>
    </dxf>
    <dxf>
      <font>
        <color rgb="FFFF0000"/>
      </font>
      <fill>
        <patternFill patternType="none"/>
      </fill>
    </dxf>
    <dxf>
      <fill>
        <patternFill patternType="solid">
          <fgColor rgb="FFEA9999"/>
          <bgColor rgb="FFEA9999"/>
        </patternFill>
      </fill>
    </dxf>
    <dxf>
      <fill>
        <patternFill patternType="solid">
          <fgColor rgb="FFF3F3F3"/>
          <bgColor rgb="FFF3F3F3"/>
        </patternFill>
      </fill>
    </dxf>
    <dxf>
      <fill>
        <patternFill patternType="solid">
          <fgColor rgb="FFFFFFFF"/>
          <bgColor rgb="FFFFFFFF"/>
        </patternFill>
      </fill>
    </dxf>
    <dxf>
      <fill>
        <patternFill patternType="solid">
          <fgColor rgb="FFFFFF00"/>
          <bgColor rgb="FFFFFF00"/>
        </patternFill>
      </fill>
    </dxf>
  </dxfs>
  <tableStyles count="1">
    <tableStyle name="STOCK-style" pivot="0" count="3" xr9:uid="{00000000-0011-0000-FFFF-FFFF00000000}">
      <tableStyleElement type="headerRow" dxfId="5"/>
      <tableStyleElement type="firstRowStripe" dxfId="4"/>
      <tableStyleElement type="secondRowStripe" dxfId="3"/>
    </tableStyle>
  </tableStyle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calcChain" Target="calcChain.xml"/><Relationship Id="rId3" Type="http://schemas.openxmlformats.org/officeDocument/2006/relationships/worksheet" Target="worksheets/sheet3.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theme" Target="theme/theme1.xml"/><Relationship Id="rId4" Type="http://schemas.openxmlformats.org/officeDocument/2006/relationships/worksheet" Target="worksheets/sheet4.xml"/></Relationships>
</file>

<file path=xl/drawings/_rels/drawing1.xml.rels><?xml version="1.0" encoding="UTF-8" standalone="yes"?>
<Relationships xmlns="http://schemas.openxmlformats.org/package/2006/relationships"><Relationship Id="rId117" Type="http://schemas.openxmlformats.org/officeDocument/2006/relationships/image" Target="../media/image117.png"/><Relationship Id="rId21" Type="http://schemas.openxmlformats.org/officeDocument/2006/relationships/image" Target="../media/image21.png"/><Relationship Id="rId63" Type="http://schemas.openxmlformats.org/officeDocument/2006/relationships/image" Target="../media/image63.png"/><Relationship Id="rId159" Type="http://schemas.openxmlformats.org/officeDocument/2006/relationships/image" Target="../media/image159.png"/><Relationship Id="rId170" Type="http://schemas.openxmlformats.org/officeDocument/2006/relationships/image" Target="../media/image170.png"/><Relationship Id="rId226" Type="http://schemas.openxmlformats.org/officeDocument/2006/relationships/image" Target="../media/image226.jpg"/><Relationship Id="rId268" Type="http://schemas.openxmlformats.org/officeDocument/2006/relationships/image" Target="../media/image268.png"/><Relationship Id="rId32" Type="http://schemas.openxmlformats.org/officeDocument/2006/relationships/image" Target="../media/image32.jpg"/><Relationship Id="rId74" Type="http://schemas.openxmlformats.org/officeDocument/2006/relationships/image" Target="../media/image74.png"/><Relationship Id="rId128" Type="http://schemas.openxmlformats.org/officeDocument/2006/relationships/image" Target="../media/image128.png"/><Relationship Id="rId5" Type="http://schemas.openxmlformats.org/officeDocument/2006/relationships/image" Target="../media/image5.png"/><Relationship Id="rId181" Type="http://schemas.openxmlformats.org/officeDocument/2006/relationships/image" Target="../media/image181.png"/><Relationship Id="rId237" Type="http://schemas.openxmlformats.org/officeDocument/2006/relationships/image" Target="../media/image237.jpg"/><Relationship Id="rId258" Type="http://schemas.openxmlformats.org/officeDocument/2006/relationships/image" Target="../media/image258.png"/><Relationship Id="rId279" Type="http://schemas.openxmlformats.org/officeDocument/2006/relationships/image" Target="../media/image279.png"/><Relationship Id="rId22" Type="http://schemas.openxmlformats.org/officeDocument/2006/relationships/image" Target="../media/image22.png"/><Relationship Id="rId43" Type="http://schemas.openxmlformats.org/officeDocument/2006/relationships/image" Target="../media/image43.png"/><Relationship Id="rId64" Type="http://schemas.openxmlformats.org/officeDocument/2006/relationships/image" Target="../media/image64.png"/><Relationship Id="rId118" Type="http://schemas.openxmlformats.org/officeDocument/2006/relationships/image" Target="../media/image118.png"/><Relationship Id="rId139" Type="http://schemas.openxmlformats.org/officeDocument/2006/relationships/image" Target="../media/image139.png"/><Relationship Id="rId85" Type="http://schemas.openxmlformats.org/officeDocument/2006/relationships/image" Target="../media/image85.png"/><Relationship Id="rId150" Type="http://schemas.openxmlformats.org/officeDocument/2006/relationships/image" Target="../media/image150.jpg"/><Relationship Id="rId171" Type="http://schemas.openxmlformats.org/officeDocument/2006/relationships/image" Target="../media/image171.png"/><Relationship Id="rId192" Type="http://schemas.openxmlformats.org/officeDocument/2006/relationships/image" Target="../media/image192.jpg"/><Relationship Id="rId206" Type="http://schemas.openxmlformats.org/officeDocument/2006/relationships/image" Target="../media/image206.jpg"/><Relationship Id="rId227" Type="http://schemas.openxmlformats.org/officeDocument/2006/relationships/image" Target="../media/image227.png"/><Relationship Id="rId248" Type="http://schemas.openxmlformats.org/officeDocument/2006/relationships/image" Target="../media/image248.jpg"/><Relationship Id="rId269" Type="http://schemas.openxmlformats.org/officeDocument/2006/relationships/image" Target="../media/image269.png"/><Relationship Id="rId12" Type="http://schemas.openxmlformats.org/officeDocument/2006/relationships/image" Target="../media/image12.png"/><Relationship Id="rId33" Type="http://schemas.openxmlformats.org/officeDocument/2006/relationships/image" Target="../media/image33.png"/><Relationship Id="rId108" Type="http://schemas.openxmlformats.org/officeDocument/2006/relationships/image" Target="../media/image108.png"/><Relationship Id="rId129" Type="http://schemas.openxmlformats.org/officeDocument/2006/relationships/image" Target="../media/image129.png"/><Relationship Id="rId54" Type="http://schemas.openxmlformats.org/officeDocument/2006/relationships/image" Target="../media/image54.png"/><Relationship Id="rId75" Type="http://schemas.openxmlformats.org/officeDocument/2006/relationships/image" Target="../media/image75.png"/><Relationship Id="rId96" Type="http://schemas.openxmlformats.org/officeDocument/2006/relationships/image" Target="../media/image96.png"/><Relationship Id="rId140" Type="http://schemas.openxmlformats.org/officeDocument/2006/relationships/image" Target="../media/image140.png"/><Relationship Id="rId161" Type="http://schemas.openxmlformats.org/officeDocument/2006/relationships/image" Target="../media/image161.png"/><Relationship Id="rId182" Type="http://schemas.openxmlformats.org/officeDocument/2006/relationships/image" Target="../media/image182.png"/><Relationship Id="rId217" Type="http://schemas.openxmlformats.org/officeDocument/2006/relationships/image" Target="../media/image217.png"/><Relationship Id="rId6" Type="http://schemas.openxmlformats.org/officeDocument/2006/relationships/image" Target="../media/image6.png"/><Relationship Id="rId238" Type="http://schemas.openxmlformats.org/officeDocument/2006/relationships/image" Target="../media/image238.jpg"/><Relationship Id="rId259" Type="http://schemas.openxmlformats.org/officeDocument/2006/relationships/image" Target="../media/image259.jpg"/><Relationship Id="rId23" Type="http://schemas.openxmlformats.org/officeDocument/2006/relationships/image" Target="../media/image23.png"/><Relationship Id="rId119" Type="http://schemas.openxmlformats.org/officeDocument/2006/relationships/image" Target="../media/image119.jpg"/><Relationship Id="rId270" Type="http://schemas.openxmlformats.org/officeDocument/2006/relationships/image" Target="../media/image270.png"/><Relationship Id="rId44" Type="http://schemas.openxmlformats.org/officeDocument/2006/relationships/image" Target="../media/image44.png"/><Relationship Id="rId65" Type="http://schemas.openxmlformats.org/officeDocument/2006/relationships/image" Target="../media/image65.png"/><Relationship Id="rId86" Type="http://schemas.openxmlformats.org/officeDocument/2006/relationships/image" Target="../media/image86.png"/><Relationship Id="rId130" Type="http://schemas.openxmlformats.org/officeDocument/2006/relationships/image" Target="../media/image130.jpg"/><Relationship Id="rId151" Type="http://schemas.openxmlformats.org/officeDocument/2006/relationships/image" Target="../media/image151.png"/><Relationship Id="rId172" Type="http://schemas.openxmlformats.org/officeDocument/2006/relationships/image" Target="../media/image172.png"/><Relationship Id="rId193" Type="http://schemas.openxmlformats.org/officeDocument/2006/relationships/image" Target="../media/image193.jpg"/><Relationship Id="rId207" Type="http://schemas.openxmlformats.org/officeDocument/2006/relationships/image" Target="../media/image207.png"/><Relationship Id="rId228" Type="http://schemas.openxmlformats.org/officeDocument/2006/relationships/image" Target="../media/image228.jpg"/><Relationship Id="rId249" Type="http://schemas.openxmlformats.org/officeDocument/2006/relationships/image" Target="../media/image249.jpg"/><Relationship Id="rId13" Type="http://schemas.openxmlformats.org/officeDocument/2006/relationships/image" Target="../media/image13.png"/><Relationship Id="rId109" Type="http://schemas.openxmlformats.org/officeDocument/2006/relationships/image" Target="../media/image109.png"/><Relationship Id="rId260" Type="http://schemas.openxmlformats.org/officeDocument/2006/relationships/image" Target="../media/image260.png"/><Relationship Id="rId34" Type="http://schemas.openxmlformats.org/officeDocument/2006/relationships/image" Target="../media/image34.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20" Type="http://schemas.openxmlformats.org/officeDocument/2006/relationships/image" Target="../media/image120.png"/><Relationship Id="rId141" Type="http://schemas.openxmlformats.org/officeDocument/2006/relationships/image" Target="../media/image141.png"/><Relationship Id="rId7" Type="http://schemas.openxmlformats.org/officeDocument/2006/relationships/image" Target="../media/image7.png"/><Relationship Id="rId162" Type="http://schemas.openxmlformats.org/officeDocument/2006/relationships/image" Target="../media/image162.jpg"/><Relationship Id="rId183" Type="http://schemas.openxmlformats.org/officeDocument/2006/relationships/image" Target="../media/image183.png"/><Relationship Id="rId218" Type="http://schemas.openxmlformats.org/officeDocument/2006/relationships/image" Target="../media/image218.jpg"/><Relationship Id="rId239" Type="http://schemas.openxmlformats.org/officeDocument/2006/relationships/image" Target="../media/image239.png"/><Relationship Id="rId250" Type="http://schemas.openxmlformats.org/officeDocument/2006/relationships/image" Target="../media/image250.jpg"/><Relationship Id="rId271" Type="http://schemas.openxmlformats.org/officeDocument/2006/relationships/image" Target="../media/image271.png"/><Relationship Id="rId24" Type="http://schemas.openxmlformats.org/officeDocument/2006/relationships/image" Target="../media/image24.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110" Type="http://schemas.openxmlformats.org/officeDocument/2006/relationships/image" Target="../media/image110.jpg"/><Relationship Id="rId131" Type="http://schemas.openxmlformats.org/officeDocument/2006/relationships/image" Target="../media/image131.png"/><Relationship Id="rId152" Type="http://schemas.openxmlformats.org/officeDocument/2006/relationships/image" Target="../media/image152.jpg"/><Relationship Id="rId173" Type="http://schemas.openxmlformats.org/officeDocument/2006/relationships/image" Target="../media/image173.png"/><Relationship Id="rId194" Type="http://schemas.openxmlformats.org/officeDocument/2006/relationships/image" Target="../media/image194.jpg"/><Relationship Id="rId208" Type="http://schemas.openxmlformats.org/officeDocument/2006/relationships/image" Target="../media/image208.jpg"/><Relationship Id="rId229" Type="http://schemas.openxmlformats.org/officeDocument/2006/relationships/image" Target="../media/image229.png"/><Relationship Id="rId240" Type="http://schemas.openxmlformats.org/officeDocument/2006/relationships/image" Target="../media/image240.png"/><Relationship Id="rId261" Type="http://schemas.openxmlformats.org/officeDocument/2006/relationships/image" Target="../media/image261.jpg"/><Relationship Id="rId14" Type="http://schemas.openxmlformats.org/officeDocument/2006/relationships/image" Target="../media/image14.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jpg"/><Relationship Id="rId8" Type="http://schemas.openxmlformats.org/officeDocument/2006/relationships/image" Target="../media/image8.jpg"/><Relationship Id="rId98" Type="http://schemas.openxmlformats.org/officeDocument/2006/relationships/image" Target="../media/image98.png"/><Relationship Id="rId121" Type="http://schemas.openxmlformats.org/officeDocument/2006/relationships/image" Target="../media/image121.png"/><Relationship Id="rId142" Type="http://schemas.openxmlformats.org/officeDocument/2006/relationships/image" Target="../media/image142.png"/><Relationship Id="rId163" Type="http://schemas.openxmlformats.org/officeDocument/2006/relationships/image" Target="../media/image163.png"/><Relationship Id="rId184" Type="http://schemas.openxmlformats.org/officeDocument/2006/relationships/image" Target="../media/image184.png"/><Relationship Id="rId219" Type="http://schemas.openxmlformats.org/officeDocument/2006/relationships/image" Target="../media/image219.png"/><Relationship Id="rId230" Type="http://schemas.openxmlformats.org/officeDocument/2006/relationships/image" Target="../media/image230.jpg"/><Relationship Id="rId251" Type="http://schemas.openxmlformats.org/officeDocument/2006/relationships/image" Target="../media/image251.jp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jpg"/><Relationship Id="rId272" Type="http://schemas.openxmlformats.org/officeDocument/2006/relationships/image" Target="../media/image272.jpg"/><Relationship Id="rId88" Type="http://schemas.openxmlformats.org/officeDocument/2006/relationships/image" Target="../media/image88.png"/><Relationship Id="rId111" Type="http://schemas.openxmlformats.org/officeDocument/2006/relationships/image" Target="../media/image111.png"/><Relationship Id="rId132" Type="http://schemas.openxmlformats.org/officeDocument/2006/relationships/image" Target="../media/image132.png"/><Relationship Id="rId153" Type="http://schemas.openxmlformats.org/officeDocument/2006/relationships/image" Target="../media/image153.png"/><Relationship Id="rId174" Type="http://schemas.openxmlformats.org/officeDocument/2006/relationships/image" Target="../media/image174.png"/><Relationship Id="rId195" Type="http://schemas.openxmlformats.org/officeDocument/2006/relationships/image" Target="../media/image195.jpg"/><Relationship Id="rId209" Type="http://schemas.openxmlformats.org/officeDocument/2006/relationships/image" Target="../media/image209.png"/><Relationship Id="rId220" Type="http://schemas.openxmlformats.org/officeDocument/2006/relationships/image" Target="../media/image220.jpg"/><Relationship Id="rId241" Type="http://schemas.openxmlformats.org/officeDocument/2006/relationships/image" Target="../media/image241.png"/><Relationship Id="rId15" Type="http://schemas.openxmlformats.org/officeDocument/2006/relationships/image" Target="../media/image15.png"/><Relationship Id="rId36" Type="http://schemas.openxmlformats.org/officeDocument/2006/relationships/image" Target="../media/image36.png"/><Relationship Id="rId57" Type="http://schemas.openxmlformats.org/officeDocument/2006/relationships/image" Target="../media/image57.png"/><Relationship Id="rId262" Type="http://schemas.openxmlformats.org/officeDocument/2006/relationships/image" Target="../media/image262.png"/><Relationship Id="rId78" Type="http://schemas.openxmlformats.org/officeDocument/2006/relationships/image" Target="../media/image78.png"/><Relationship Id="rId99" Type="http://schemas.openxmlformats.org/officeDocument/2006/relationships/image" Target="../media/image99.png"/><Relationship Id="rId101" Type="http://schemas.openxmlformats.org/officeDocument/2006/relationships/image" Target="../media/image101.jpg"/><Relationship Id="rId122" Type="http://schemas.openxmlformats.org/officeDocument/2006/relationships/image" Target="../media/image122.jpg"/><Relationship Id="rId143" Type="http://schemas.openxmlformats.org/officeDocument/2006/relationships/image" Target="../media/image143.png"/><Relationship Id="rId164" Type="http://schemas.openxmlformats.org/officeDocument/2006/relationships/image" Target="../media/image164.png"/><Relationship Id="rId185" Type="http://schemas.openxmlformats.org/officeDocument/2006/relationships/image" Target="../media/image185.png"/><Relationship Id="rId9" Type="http://schemas.openxmlformats.org/officeDocument/2006/relationships/image" Target="../media/image9.jpg"/><Relationship Id="rId210" Type="http://schemas.openxmlformats.org/officeDocument/2006/relationships/image" Target="../media/image210.jpg"/><Relationship Id="rId26" Type="http://schemas.openxmlformats.org/officeDocument/2006/relationships/image" Target="../media/image26.png"/><Relationship Id="rId231" Type="http://schemas.openxmlformats.org/officeDocument/2006/relationships/image" Target="../media/image231.png"/><Relationship Id="rId252" Type="http://schemas.openxmlformats.org/officeDocument/2006/relationships/image" Target="../media/image252.jpg"/><Relationship Id="rId273" Type="http://schemas.openxmlformats.org/officeDocument/2006/relationships/image" Target="../media/image273.png"/><Relationship Id="rId47" Type="http://schemas.openxmlformats.org/officeDocument/2006/relationships/image" Target="../media/image47.png"/><Relationship Id="rId68" Type="http://schemas.openxmlformats.org/officeDocument/2006/relationships/image" Target="../media/image68.png"/><Relationship Id="rId89" Type="http://schemas.openxmlformats.org/officeDocument/2006/relationships/image" Target="../media/image89.png"/><Relationship Id="rId112" Type="http://schemas.openxmlformats.org/officeDocument/2006/relationships/image" Target="../media/image112.png"/><Relationship Id="rId133" Type="http://schemas.openxmlformats.org/officeDocument/2006/relationships/image" Target="../media/image133.jpg"/><Relationship Id="rId154" Type="http://schemas.openxmlformats.org/officeDocument/2006/relationships/image" Target="../media/image154.png"/><Relationship Id="rId175" Type="http://schemas.openxmlformats.org/officeDocument/2006/relationships/image" Target="../media/image175.png"/><Relationship Id="rId196" Type="http://schemas.openxmlformats.org/officeDocument/2006/relationships/image" Target="../media/image196.jpg"/><Relationship Id="rId200" Type="http://schemas.openxmlformats.org/officeDocument/2006/relationships/image" Target="../media/image200.jpg"/><Relationship Id="rId16" Type="http://schemas.openxmlformats.org/officeDocument/2006/relationships/image" Target="../media/image16.png"/><Relationship Id="rId221" Type="http://schemas.openxmlformats.org/officeDocument/2006/relationships/image" Target="../media/image221.png"/><Relationship Id="rId242" Type="http://schemas.openxmlformats.org/officeDocument/2006/relationships/image" Target="../media/image242.png"/><Relationship Id="rId263" Type="http://schemas.openxmlformats.org/officeDocument/2006/relationships/image" Target="../media/image263.jpg"/><Relationship Id="rId37" Type="http://schemas.openxmlformats.org/officeDocument/2006/relationships/image" Target="../media/image37.png"/><Relationship Id="rId58" Type="http://schemas.openxmlformats.org/officeDocument/2006/relationships/image" Target="../media/image58.png"/><Relationship Id="rId79" Type="http://schemas.openxmlformats.org/officeDocument/2006/relationships/image" Target="../media/image79.png"/><Relationship Id="rId102" Type="http://schemas.openxmlformats.org/officeDocument/2006/relationships/image" Target="../media/image102.png"/><Relationship Id="rId123" Type="http://schemas.openxmlformats.org/officeDocument/2006/relationships/image" Target="../media/image123.png"/><Relationship Id="rId144" Type="http://schemas.openxmlformats.org/officeDocument/2006/relationships/image" Target="../media/image144.jpg"/><Relationship Id="rId90" Type="http://schemas.openxmlformats.org/officeDocument/2006/relationships/image" Target="../media/image90.png"/><Relationship Id="rId165" Type="http://schemas.openxmlformats.org/officeDocument/2006/relationships/image" Target="../media/image165.png"/><Relationship Id="rId186" Type="http://schemas.openxmlformats.org/officeDocument/2006/relationships/image" Target="../media/image186.jpg"/><Relationship Id="rId211" Type="http://schemas.openxmlformats.org/officeDocument/2006/relationships/image" Target="../media/image211.png"/><Relationship Id="rId232" Type="http://schemas.openxmlformats.org/officeDocument/2006/relationships/image" Target="../media/image232.jpg"/><Relationship Id="rId253" Type="http://schemas.openxmlformats.org/officeDocument/2006/relationships/image" Target="../media/image253.jpg"/><Relationship Id="rId274" Type="http://schemas.openxmlformats.org/officeDocument/2006/relationships/image" Target="../media/image274.png"/><Relationship Id="rId27" Type="http://schemas.openxmlformats.org/officeDocument/2006/relationships/image" Target="../media/image27.png"/><Relationship Id="rId48" Type="http://schemas.openxmlformats.org/officeDocument/2006/relationships/image" Target="../media/image48.jpg"/><Relationship Id="rId69" Type="http://schemas.openxmlformats.org/officeDocument/2006/relationships/image" Target="../media/image69.png"/><Relationship Id="rId113" Type="http://schemas.openxmlformats.org/officeDocument/2006/relationships/image" Target="../media/image113.png"/><Relationship Id="rId134" Type="http://schemas.openxmlformats.org/officeDocument/2006/relationships/image" Target="../media/image134.png"/><Relationship Id="rId80" Type="http://schemas.openxmlformats.org/officeDocument/2006/relationships/image" Target="../media/image80.png"/><Relationship Id="rId155" Type="http://schemas.openxmlformats.org/officeDocument/2006/relationships/image" Target="../media/image155.png"/><Relationship Id="rId176" Type="http://schemas.openxmlformats.org/officeDocument/2006/relationships/image" Target="../media/image176.png"/><Relationship Id="rId197" Type="http://schemas.openxmlformats.org/officeDocument/2006/relationships/image" Target="../media/image197.png"/><Relationship Id="rId201" Type="http://schemas.openxmlformats.org/officeDocument/2006/relationships/image" Target="../media/image201.png"/><Relationship Id="rId222" Type="http://schemas.openxmlformats.org/officeDocument/2006/relationships/image" Target="../media/image222.jpg"/><Relationship Id="rId243" Type="http://schemas.openxmlformats.org/officeDocument/2006/relationships/image" Target="../media/image243.png"/><Relationship Id="rId264" Type="http://schemas.openxmlformats.org/officeDocument/2006/relationships/image" Target="../media/image264.png"/><Relationship Id="rId17" Type="http://schemas.openxmlformats.org/officeDocument/2006/relationships/image" Target="../media/image17.png"/><Relationship Id="rId38" Type="http://schemas.openxmlformats.org/officeDocument/2006/relationships/image" Target="../media/image38.png"/><Relationship Id="rId59" Type="http://schemas.openxmlformats.org/officeDocument/2006/relationships/image" Target="../media/image59.jpg"/><Relationship Id="rId103" Type="http://schemas.openxmlformats.org/officeDocument/2006/relationships/image" Target="../media/image103.png"/><Relationship Id="rId124" Type="http://schemas.openxmlformats.org/officeDocument/2006/relationships/image" Target="../media/image124.png"/><Relationship Id="rId70" Type="http://schemas.openxmlformats.org/officeDocument/2006/relationships/image" Target="../media/image70.png"/><Relationship Id="rId91" Type="http://schemas.openxmlformats.org/officeDocument/2006/relationships/image" Target="../media/image91.png"/><Relationship Id="rId145" Type="http://schemas.openxmlformats.org/officeDocument/2006/relationships/image" Target="../media/image145.png"/><Relationship Id="rId166" Type="http://schemas.openxmlformats.org/officeDocument/2006/relationships/image" Target="../media/image166.png"/><Relationship Id="rId187" Type="http://schemas.openxmlformats.org/officeDocument/2006/relationships/image" Target="../media/image187.png"/><Relationship Id="rId1" Type="http://schemas.openxmlformats.org/officeDocument/2006/relationships/image" Target="../media/image1.jpg"/><Relationship Id="rId212" Type="http://schemas.openxmlformats.org/officeDocument/2006/relationships/image" Target="../media/image212.jpg"/><Relationship Id="rId233" Type="http://schemas.openxmlformats.org/officeDocument/2006/relationships/image" Target="../media/image233.png"/><Relationship Id="rId254" Type="http://schemas.openxmlformats.org/officeDocument/2006/relationships/image" Target="../media/image254.png"/><Relationship Id="rId28" Type="http://schemas.openxmlformats.org/officeDocument/2006/relationships/image" Target="../media/image28.png"/><Relationship Id="rId49" Type="http://schemas.openxmlformats.org/officeDocument/2006/relationships/image" Target="../media/image49.png"/><Relationship Id="rId114" Type="http://schemas.openxmlformats.org/officeDocument/2006/relationships/image" Target="../media/image114.png"/><Relationship Id="rId275" Type="http://schemas.openxmlformats.org/officeDocument/2006/relationships/image" Target="../media/image275.png"/><Relationship Id="rId60" Type="http://schemas.openxmlformats.org/officeDocument/2006/relationships/image" Target="../media/image60.png"/><Relationship Id="rId81" Type="http://schemas.openxmlformats.org/officeDocument/2006/relationships/image" Target="../media/image81.png"/><Relationship Id="rId135" Type="http://schemas.openxmlformats.org/officeDocument/2006/relationships/image" Target="../media/image135.png"/><Relationship Id="rId156" Type="http://schemas.openxmlformats.org/officeDocument/2006/relationships/image" Target="../media/image156.png"/><Relationship Id="rId177" Type="http://schemas.openxmlformats.org/officeDocument/2006/relationships/image" Target="../media/image177.png"/><Relationship Id="rId198" Type="http://schemas.openxmlformats.org/officeDocument/2006/relationships/image" Target="../media/image198.jpg"/><Relationship Id="rId202" Type="http://schemas.openxmlformats.org/officeDocument/2006/relationships/image" Target="../media/image202.jpg"/><Relationship Id="rId223" Type="http://schemas.openxmlformats.org/officeDocument/2006/relationships/image" Target="../media/image223.png"/><Relationship Id="rId244" Type="http://schemas.openxmlformats.org/officeDocument/2006/relationships/image" Target="../media/image244.png"/><Relationship Id="rId18" Type="http://schemas.openxmlformats.org/officeDocument/2006/relationships/image" Target="../media/image18.jpg"/><Relationship Id="rId39" Type="http://schemas.openxmlformats.org/officeDocument/2006/relationships/image" Target="../media/image39.png"/><Relationship Id="rId265" Type="http://schemas.openxmlformats.org/officeDocument/2006/relationships/image" Target="../media/image265.jpg"/><Relationship Id="rId50" Type="http://schemas.openxmlformats.org/officeDocument/2006/relationships/image" Target="../media/image50.png"/><Relationship Id="rId104" Type="http://schemas.openxmlformats.org/officeDocument/2006/relationships/image" Target="../media/image104.png"/><Relationship Id="rId125" Type="http://schemas.openxmlformats.org/officeDocument/2006/relationships/image" Target="../media/image125.png"/><Relationship Id="rId146" Type="http://schemas.openxmlformats.org/officeDocument/2006/relationships/image" Target="../media/image146.png"/><Relationship Id="rId167" Type="http://schemas.openxmlformats.org/officeDocument/2006/relationships/image" Target="../media/image167.png"/><Relationship Id="rId188" Type="http://schemas.openxmlformats.org/officeDocument/2006/relationships/image" Target="../media/image188.png"/><Relationship Id="rId71" Type="http://schemas.openxmlformats.org/officeDocument/2006/relationships/image" Target="../media/image71.png"/><Relationship Id="rId92" Type="http://schemas.openxmlformats.org/officeDocument/2006/relationships/image" Target="../media/image92.png"/><Relationship Id="rId213" Type="http://schemas.openxmlformats.org/officeDocument/2006/relationships/image" Target="../media/image213.png"/><Relationship Id="rId234" Type="http://schemas.openxmlformats.org/officeDocument/2006/relationships/image" Target="../media/image234.jpg"/><Relationship Id="rId2" Type="http://schemas.openxmlformats.org/officeDocument/2006/relationships/image" Target="../media/image2.png"/><Relationship Id="rId29" Type="http://schemas.openxmlformats.org/officeDocument/2006/relationships/image" Target="../media/image29.png"/><Relationship Id="rId255" Type="http://schemas.openxmlformats.org/officeDocument/2006/relationships/image" Target="../media/image255.jpg"/><Relationship Id="rId276" Type="http://schemas.openxmlformats.org/officeDocument/2006/relationships/image" Target="../media/image276.png"/><Relationship Id="rId40" Type="http://schemas.openxmlformats.org/officeDocument/2006/relationships/image" Target="../media/image40.png"/><Relationship Id="rId115" Type="http://schemas.openxmlformats.org/officeDocument/2006/relationships/image" Target="../media/image115.png"/><Relationship Id="rId136" Type="http://schemas.openxmlformats.org/officeDocument/2006/relationships/image" Target="../media/image136.jpg"/><Relationship Id="rId157" Type="http://schemas.openxmlformats.org/officeDocument/2006/relationships/image" Target="../media/image157.png"/><Relationship Id="rId178" Type="http://schemas.openxmlformats.org/officeDocument/2006/relationships/image" Target="../media/image178.png"/><Relationship Id="rId61" Type="http://schemas.openxmlformats.org/officeDocument/2006/relationships/image" Target="../media/image61.png"/><Relationship Id="rId82" Type="http://schemas.openxmlformats.org/officeDocument/2006/relationships/image" Target="../media/image82.png"/><Relationship Id="rId199" Type="http://schemas.openxmlformats.org/officeDocument/2006/relationships/image" Target="../media/image199.png"/><Relationship Id="rId203" Type="http://schemas.openxmlformats.org/officeDocument/2006/relationships/image" Target="../media/image203.png"/><Relationship Id="rId19" Type="http://schemas.openxmlformats.org/officeDocument/2006/relationships/image" Target="../media/image19.png"/><Relationship Id="rId224" Type="http://schemas.openxmlformats.org/officeDocument/2006/relationships/image" Target="../media/image224.jpg"/><Relationship Id="rId245" Type="http://schemas.openxmlformats.org/officeDocument/2006/relationships/image" Target="../media/image245.png"/><Relationship Id="rId266" Type="http://schemas.openxmlformats.org/officeDocument/2006/relationships/image" Target="../media/image266.png"/><Relationship Id="rId30" Type="http://schemas.openxmlformats.org/officeDocument/2006/relationships/image" Target="../media/image30.png"/><Relationship Id="rId105" Type="http://schemas.openxmlformats.org/officeDocument/2006/relationships/image" Target="../media/image105.png"/><Relationship Id="rId126" Type="http://schemas.openxmlformats.org/officeDocument/2006/relationships/image" Target="../media/image126.png"/><Relationship Id="rId147" Type="http://schemas.openxmlformats.org/officeDocument/2006/relationships/image" Target="../media/image147.jpg"/><Relationship Id="rId168" Type="http://schemas.openxmlformats.org/officeDocument/2006/relationships/image" Target="../media/image16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189" Type="http://schemas.openxmlformats.org/officeDocument/2006/relationships/image" Target="../media/image189.png"/><Relationship Id="rId3" Type="http://schemas.openxmlformats.org/officeDocument/2006/relationships/image" Target="../media/image3.png"/><Relationship Id="rId214" Type="http://schemas.openxmlformats.org/officeDocument/2006/relationships/image" Target="../media/image214.jpg"/><Relationship Id="rId235" Type="http://schemas.openxmlformats.org/officeDocument/2006/relationships/image" Target="../media/image235.png"/><Relationship Id="rId256" Type="http://schemas.openxmlformats.org/officeDocument/2006/relationships/image" Target="../media/image256.jpg"/><Relationship Id="rId277" Type="http://schemas.openxmlformats.org/officeDocument/2006/relationships/image" Target="../media/image277.jpg"/><Relationship Id="rId116" Type="http://schemas.openxmlformats.org/officeDocument/2006/relationships/image" Target="../media/image116.png"/><Relationship Id="rId137" Type="http://schemas.openxmlformats.org/officeDocument/2006/relationships/image" Target="../media/image137.png"/><Relationship Id="rId158" Type="http://schemas.openxmlformats.org/officeDocument/2006/relationships/image" Target="../media/image158.png"/><Relationship Id="rId20" Type="http://schemas.openxmlformats.org/officeDocument/2006/relationships/image" Target="../media/image20.jpg"/><Relationship Id="rId41" Type="http://schemas.openxmlformats.org/officeDocument/2006/relationships/image" Target="../media/image41.png"/><Relationship Id="rId62" Type="http://schemas.openxmlformats.org/officeDocument/2006/relationships/image" Target="../media/image62.png"/><Relationship Id="rId83" Type="http://schemas.openxmlformats.org/officeDocument/2006/relationships/image" Target="../media/image83.png"/><Relationship Id="rId179" Type="http://schemas.openxmlformats.org/officeDocument/2006/relationships/image" Target="../media/image179.png"/><Relationship Id="rId190" Type="http://schemas.openxmlformats.org/officeDocument/2006/relationships/image" Target="../media/image190.jpg"/><Relationship Id="rId204" Type="http://schemas.openxmlformats.org/officeDocument/2006/relationships/image" Target="../media/image204.jpg"/><Relationship Id="rId225" Type="http://schemas.openxmlformats.org/officeDocument/2006/relationships/image" Target="../media/image225.png"/><Relationship Id="rId246" Type="http://schemas.openxmlformats.org/officeDocument/2006/relationships/image" Target="../media/image246.jpg"/><Relationship Id="rId267" Type="http://schemas.openxmlformats.org/officeDocument/2006/relationships/image" Target="../media/image267.png"/><Relationship Id="rId106" Type="http://schemas.openxmlformats.org/officeDocument/2006/relationships/image" Target="../media/image106.png"/><Relationship Id="rId127" Type="http://schemas.openxmlformats.org/officeDocument/2006/relationships/image" Target="../media/image127.png"/><Relationship Id="rId10" Type="http://schemas.openxmlformats.org/officeDocument/2006/relationships/image" Target="../media/image10.jpg"/><Relationship Id="rId31" Type="http://schemas.openxmlformats.org/officeDocument/2006/relationships/image" Target="../media/image31.png"/><Relationship Id="rId52" Type="http://schemas.openxmlformats.org/officeDocument/2006/relationships/image" Target="../media/image52.png"/><Relationship Id="rId73" Type="http://schemas.openxmlformats.org/officeDocument/2006/relationships/image" Target="../media/image73.png"/><Relationship Id="rId94" Type="http://schemas.openxmlformats.org/officeDocument/2006/relationships/image" Target="../media/image94.png"/><Relationship Id="rId148" Type="http://schemas.openxmlformats.org/officeDocument/2006/relationships/image" Target="../media/image148.png"/><Relationship Id="rId169" Type="http://schemas.openxmlformats.org/officeDocument/2006/relationships/image" Target="../media/image169.png"/><Relationship Id="rId4" Type="http://schemas.openxmlformats.org/officeDocument/2006/relationships/image" Target="../media/image4.png"/><Relationship Id="rId180" Type="http://schemas.openxmlformats.org/officeDocument/2006/relationships/image" Target="../media/image180.jpg"/><Relationship Id="rId215" Type="http://schemas.openxmlformats.org/officeDocument/2006/relationships/image" Target="../media/image215.png"/><Relationship Id="rId236" Type="http://schemas.openxmlformats.org/officeDocument/2006/relationships/image" Target="../media/image236.jpg"/><Relationship Id="rId257" Type="http://schemas.openxmlformats.org/officeDocument/2006/relationships/image" Target="../media/image257.jpg"/><Relationship Id="rId278" Type="http://schemas.openxmlformats.org/officeDocument/2006/relationships/image" Target="../media/image278.png"/><Relationship Id="rId42" Type="http://schemas.openxmlformats.org/officeDocument/2006/relationships/image" Target="../media/image42.png"/><Relationship Id="rId84" Type="http://schemas.openxmlformats.org/officeDocument/2006/relationships/image" Target="../media/image84.png"/><Relationship Id="rId138" Type="http://schemas.openxmlformats.org/officeDocument/2006/relationships/image" Target="../media/image138.png"/><Relationship Id="rId191" Type="http://schemas.openxmlformats.org/officeDocument/2006/relationships/image" Target="../media/image191.jpg"/><Relationship Id="rId205" Type="http://schemas.openxmlformats.org/officeDocument/2006/relationships/image" Target="../media/image205.png"/><Relationship Id="rId247" Type="http://schemas.openxmlformats.org/officeDocument/2006/relationships/image" Target="../media/image247.jpg"/><Relationship Id="rId107" Type="http://schemas.openxmlformats.org/officeDocument/2006/relationships/image" Target="../media/image107.png"/><Relationship Id="rId11" Type="http://schemas.openxmlformats.org/officeDocument/2006/relationships/image" Target="../media/image11.png"/><Relationship Id="rId53" Type="http://schemas.openxmlformats.org/officeDocument/2006/relationships/image" Target="../media/image53.png"/><Relationship Id="rId149" Type="http://schemas.openxmlformats.org/officeDocument/2006/relationships/image" Target="../media/image149.jpg"/><Relationship Id="rId95" Type="http://schemas.openxmlformats.org/officeDocument/2006/relationships/image" Target="../media/image95.png"/><Relationship Id="rId160" Type="http://schemas.openxmlformats.org/officeDocument/2006/relationships/image" Target="../media/image160.png"/><Relationship Id="rId216" Type="http://schemas.openxmlformats.org/officeDocument/2006/relationships/image" Target="../media/image216.jpg"/></Relationships>
</file>

<file path=xl/drawings/drawing1.xml><?xml version="1.0" encoding="utf-8"?>
<xdr:wsDr xmlns:xdr="http://schemas.openxmlformats.org/drawingml/2006/spreadsheetDrawing" xmlns:a="http://schemas.openxmlformats.org/drawingml/2006/main">
  <xdr:oneCellAnchor>
    <xdr:from>
      <xdr:col>2</xdr:col>
      <xdr:colOff>0</xdr:colOff>
      <xdr:row>1</xdr:row>
      <xdr:rowOff>0</xdr:rowOff>
    </xdr:from>
    <xdr:ext cx="2790825" cy="2085975"/>
    <xdr:pic>
      <xdr:nvPicPr>
        <xdr:cNvPr id="2" name="image8.jpg">
          <a:extLst>
            <a:ext uri="{FF2B5EF4-FFF2-40B4-BE49-F238E27FC236}">
              <a16:creationId xmlns:a16="http://schemas.microsoft.com/office/drawing/2014/main" id="{00000000-0008-0000-0200-000002000000}"/>
            </a:ext>
          </a:extLst>
        </xdr:cNvPr>
        <xdr:cNvPicPr preferRelativeResize="0"/>
      </xdr:nvPicPr>
      <xdr:blipFill>
        <a:blip xmlns:r="http://schemas.openxmlformats.org/officeDocument/2006/relationships" r:embed="rId1" cstate="print"/>
        <a:stretch>
          <a:fillRect/>
        </a:stretch>
      </xdr:blipFill>
      <xdr:spPr>
        <a:prstGeom prst="rect">
          <a:avLst/>
        </a:prstGeom>
        <a:noFill/>
      </xdr:spPr>
    </xdr:pic>
    <xdr:clientData fLocksWithSheet="0"/>
  </xdr:oneCellAnchor>
  <xdr:oneCellAnchor>
    <xdr:from>
      <xdr:col>2</xdr:col>
      <xdr:colOff>0</xdr:colOff>
      <xdr:row>2</xdr:row>
      <xdr:rowOff>0</xdr:rowOff>
    </xdr:from>
    <xdr:ext cx="2038350" cy="2076450"/>
    <xdr:pic>
      <xdr:nvPicPr>
        <xdr:cNvPr id="3" name="image11.png">
          <a:extLst>
            <a:ext uri="{FF2B5EF4-FFF2-40B4-BE49-F238E27FC236}">
              <a16:creationId xmlns:a16="http://schemas.microsoft.com/office/drawing/2014/main" id="{00000000-0008-0000-0200-000003000000}"/>
            </a:ext>
          </a:extLst>
        </xdr:cNvPr>
        <xdr:cNvPicPr preferRelativeResize="0"/>
      </xdr:nvPicPr>
      <xdr:blipFill>
        <a:blip xmlns:r="http://schemas.openxmlformats.org/officeDocument/2006/relationships" r:embed="rId2" cstate="print"/>
        <a:stretch>
          <a:fillRect/>
        </a:stretch>
      </xdr:blipFill>
      <xdr:spPr>
        <a:prstGeom prst="rect">
          <a:avLst/>
        </a:prstGeom>
        <a:noFill/>
      </xdr:spPr>
    </xdr:pic>
    <xdr:clientData fLocksWithSheet="0"/>
  </xdr:oneCellAnchor>
  <xdr:oneCellAnchor>
    <xdr:from>
      <xdr:col>3</xdr:col>
      <xdr:colOff>0</xdr:colOff>
      <xdr:row>2</xdr:row>
      <xdr:rowOff>0</xdr:rowOff>
    </xdr:from>
    <xdr:ext cx="2571750" cy="2076450"/>
    <xdr:pic>
      <xdr:nvPicPr>
        <xdr:cNvPr id="4" name="image9.png">
          <a:extLst>
            <a:ext uri="{FF2B5EF4-FFF2-40B4-BE49-F238E27FC236}">
              <a16:creationId xmlns:a16="http://schemas.microsoft.com/office/drawing/2014/main" id="{00000000-0008-0000-0200-000004000000}"/>
            </a:ext>
          </a:extLst>
        </xdr:cNvPr>
        <xdr:cNvPicPr preferRelativeResize="0"/>
      </xdr:nvPicPr>
      <xdr:blipFill>
        <a:blip xmlns:r="http://schemas.openxmlformats.org/officeDocument/2006/relationships" r:embed="rId3" cstate="print"/>
        <a:stretch>
          <a:fillRect/>
        </a:stretch>
      </xdr:blipFill>
      <xdr:spPr>
        <a:prstGeom prst="rect">
          <a:avLst/>
        </a:prstGeom>
        <a:noFill/>
      </xdr:spPr>
    </xdr:pic>
    <xdr:clientData fLocksWithSheet="0"/>
  </xdr:oneCellAnchor>
  <xdr:oneCellAnchor>
    <xdr:from>
      <xdr:col>2</xdr:col>
      <xdr:colOff>0</xdr:colOff>
      <xdr:row>3</xdr:row>
      <xdr:rowOff>0</xdr:rowOff>
    </xdr:from>
    <xdr:ext cx="2352675" cy="2085975"/>
    <xdr:pic>
      <xdr:nvPicPr>
        <xdr:cNvPr id="5" name="image24.png">
          <a:extLst>
            <a:ext uri="{FF2B5EF4-FFF2-40B4-BE49-F238E27FC236}">
              <a16:creationId xmlns:a16="http://schemas.microsoft.com/office/drawing/2014/main" id="{00000000-0008-0000-0200-000005000000}"/>
            </a:ext>
          </a:extLst>
        </xdr:cNvPr>
        <xdr:cNvPicPr preferRelativeResize="0"/>
      </xdr:nvPicPr>
      <xdr:blipFill>
        <a:blip xmlns:r="http://schemas.openxmlformats.org/officeDocument/2006/relationships" r:embed="rId4" cstate="print"/>
        <a:stretch>
          <a:fillRect/>
        </a:stretch>
      </xdr:blipFill>
      <xdr:spPr>
        <a:prstGeom prst="rect">
          <a:avLst/>
        </a:prstGeom>
        <a:noFill/>
      </xdr:spPr>
    </xdr:pic>
    <xdr:clientData fLocksWithSheet="0"/>
  </xdr:oneCellAnchor>
  <xdr:oneCellAnchor>
    <xdr:from>
      <xdr:col>2</xdr:col>
      <xdr:colOff>0</xdr:colOff>
      <xdr:row>4</xdr:row>
      <xdr:rowOff>0</xdr:rowOff>
    </xdr:from>
    <xdr:ext cx="2924175" cy="2085975"/>
    <xdr:pic>
      <xdr:nvPicPr>
        <xdr:cNvPr id="6" name="image23.png">
          <a:extLst>
            <a:ext uri="{FF2B5EF4-FFF2-40B4-BE49-F238E27FC236}">
              <a16:creationId xmlns:a16="http://schemas.microsoft.com/office/drawing/2014/main" id="{00000000-0008-0000-0200-000006000000}"/>
            </a:ext>
          </a:extLst>
        </xdr:cNvPr>
        <xdr:cNvPicPr preferRelativeResize="0"/>
      </xdr:nvPicPr>
      <xdr:blipFill>
        <a:blip xmlns:r="http://schemas.openxmlformats.org/officeDocument/2006/relationships" r:embed="rId5" cstate="print"/>
        <a:stretch>
          <a:fillRect/>
        </a:stretch>
      </xdr:blipFill>
      <xdr:spPr>
        <a:prstGeom prst="rect">
          <a:avLst/>
        </a:prstGeom>
        <a:noFill/>
      </xdr:spPr>
    </xdr:pic>
    <xdr:clientData fLocksWithSheet="0"/>
  </xdr:oneCellAnchor>
  <xdr:oneCellAnchor>
    <xdr:from>
      <xdr:col>3</xdr:col>
      <xdr:colOff>0</xdr:colOff>
      <xdr:row>4</xdr:row>
      <xdr:rowOff>0</xdr:rowOff>
    </xdr:from>
    <xdr:ext cx="3152775" cy="2019300"/>
    <xdr:pic>
      <xdr:nvPicPr>
        <xdr:cNvPr id="7" name="image14.png">
          <a:extLst>
            <a:ext uri="{FF2B5EF4-FFF2-40B4-BE49-F238E27FC236}">
              <a16:creationId xmlns:a16="http://schemas.microsoft.com/office/drawing/2014/main" id="{00000000-0008-0000-0200-000007000000}"/>
            </a:ext>
          </a:extLst>
        </xdr:cNvPr>
        <xdr:cNvPicPr preferRelativeResize="0"/>
      </xdr:nvPicPr>
      <xdr:blipFill>
        <a:blip xmlns:r="http://schemas.openxmlformats.org/officeDocument/2006/relationships" r:embed="rId6" cstate="print"/>
        <a:stretch>
          <a:fillRect/>
        </a:stretch>
      </xdr:blipFill>
      <xdr:spPr>
        <a:prstGeom prst="rect">
          <a:avLst/>
        </a:prstGeom>
        <a:noFill/>
      </xdr:spPr>
    </xdr:pic>
    <xdr:clientData fLocksWithSheet="0"/>
  </xdr:oneCellAnchor>
  <xdr:oneCellAnchor>
    <xdr:from>
      <xdr:col>2</xdr:col>
      <xdr:colOff>0</xdr:colOff>
      <xdr:row>5</xdr:row>
      <xdr:rowOff>0</xdr:rowOff>
    </xdr:from>
    <xdr:ext cx="2286000" cy="2085975"/>
    <xdr:pic>
      <xdr:nvPicPr>
        <xdr:cNvPr id="8" name="image4.png">
          <a:extLst>
            <a:ext uri="{FF2B5EF4-FFF2-40B4-BE49-F238E27FC236}">
              <a16:creationId xmlns:a16="http://schemas.microsoft.com/office/drawing/2014/main" id="{00000000-0008-0000-0200-000008000000}"/>
            </a:ext>
          </a:extLst>
        </xdr:cNvPr>
        <xdr:cNvPicPr preferRelativeResize="0"/>
      </xdr:nvPicPr>
      <xdr:blipFill>
        <a:blip xmlns:r="http://schemas.openxmlformats.org/officeDocument/2006/relationships" r:embed="rId7" cstate="print"/>
        <a:stretch>
          <a:fillRect/>
        </a:stretch>
      </xdr:blipFill>
      <xdr:spPr>
        <a:prstGeom prst="rect">
          <a:avLst/>
        </a:prstGeom>
        <a:noFill/>
      </xdr:spPr>
    </xdr:pic>
    <xdr:clientData fLocksWithSheet="0"/>
  </xdr:oneCellAnchor>
  <xdr:oneCellAnchor>
    <xdr:from>
      <xdr:col>3</xdr:col>
      <xdr:colOff>0</xdr:colOff>
      <xdr:row>5</xdr:row>
      <xdr:rowOff>0</xdr:rowOff>
    </xdr:from>
    <xdr:ext cx="1171575" cy="2085975"/>
    <xdr:pic>
      <xdr:nvPicPr>
        <xdr:cNvPr id="9" name="image2.jpg">
          <a:extLst>
            <a:ext uri="{FF2B5EF4-FFF2-40B4-BE49-F238E27FC236}">
              <a16:creationId xmlns:a16="http://schemas.microsoft.com/office/drawing/2014/main" id="{00000000-0008-0000-0200-000009000000}"/>
            </a:ext>
          </a:extLst>
        </xdr:cNvPr>
        <xdr:cNvPicPr preferRelativeResize="0"/>
      </xdr:nvPicPr>
      <xdr:blipFill>
        <a:blip xmlns:r="http://schemas.openxmlformats.org/officeDocument/2006/relationships" r:embed="rId8" cstate="print"/>
        <a:stretch>
          <a:fillRect/>
        </a:stretch>
      </xdr:blipFill>
      <xdr:spPr>
        <a:prstGeom prst="rect">
          <a:avLst/>
        </a:prstGeom>
        <a:noFill/>
      </xdr:spPr>
    </xdr:pic>
    <xdr:clientData fLocksWithSheet="0"/>
  </xdr:oneCellAnchor>
  <xdr:oneCellAnchor>
    <xdr:from>
      <xdr:col>2</xdr:col>
      <xdr:colOff>0</xdr:colOff>
      <xdr:row>6</xdr:row>
      <xdr:rowOff>0</xdr:rowOff>
    </xdr:from>
    <xdr:ext cx="2781300" cy="2085975"/>
    <xdr:pic>
      <xdr:nvPicPr>
        <xdr:cNvPr id="10" name="image15.jpg">
          <a:extLst>
            <a:ext uri="{FF2B5EF4-FFF2-40B4-BE49-F238E27FC236}">
              <a16:creationId xmlns:a16="http://schemas.microsoft.com/office/drawing/2014/main" id="{00000000-0008-0000-0200-00000A000000}"/>
            </a:ext>
          </a:extLst>
        </xdr:cNvPr>
        <xdr:cNvPicPr preferRelativeResize="0"/>
      </xdr:nvPicPr>
      <xdr:blipFill>
        <a:blip xmlns:r="http://schemas.openxmlformats.org/officeDocument/2006/relationships" r:embed="rId9" cstate="print"/>
        <a:stretch>
          <a:fillRect/>
        </a:stretch>
      </xdr:blipFill>
      <xdr:spPr>
        <a:prstGeom prst="rect">
          <a:avLst/>
        </a:prstGeom>
        <a:noFill/>
      </xdr:spPr>
    </xdr:pic>
    <xdr:clientData fLocksWithSheet="0"/>
  </xdr:oneCellAnchor>
  <xdr:oneCellAnchor>
    <xdr:from>
      <xdr:col>2</xdr:col>
      <xdr:colOff>0</xdr:colOff>
      <xdr:row>7</xdr:row>
      <xdr:rowOff>0</xdr:rowOff>
    </xdr:from>
    <xdr:ext cx="3600450" cy="2019300"/>
    <xdr:pic>
      <xdr:nvPicPr>
        <xdr:cNvPr id="11" name="image29.jpg">
          <a:extLst>
            <a:ext uri="{FF2B5EF4-FFF2-40B4-BE49-F238E27FC236}">
              <a16:creationId xmlns:a16="http://schemas.microsoft.com/office/drawing/2014/main" id="{00000000-0008-0000-0200-00000B000000}"/>
            </a:ext>
          </a:extLst>
        </xdr:cNvPr>
        <xdr:cNvPicPr preferRelativeResize="0"/>
      </xdr:nvPicPr>
      <xdr:blipFill>
        <a:blip xmlns:r="http://schemas.openxmlformats.org/officeDocument/2006/relationships" r:embed="rId10" cstate="print"/>
        <a:stretch>
          <a:fillRect/>
        </a:stretch>
      </xdr:blipFill>
      <xdr:spPr>
        <a:prstGeom prst="rect">
          <a:avLst/>
        </a:prstGeom>
        <a:noFill/>
      </xdr:spPr>
    </xdr:pic>
    <xdr:clientData fLocksWithSheet="0"/>
  </xdr:oneCellAnchor>
  <xdr:oneCellAnchor>
    <xdr:from>
      <xdr:col>2</xdr:col>
      <xdr:colOff>0</xdr:colOff>
      <xdr:row>8</xdr:row>
      <xdr:rowOff>0</xdr:rowOff>
    </xdr:from>
    <xdr:ext cx="2724150" cy="2085975"/>
    <xdr:pic>
      <xdr:nvPicPr>
        <xdr:cNvPr id="12" name="image19.png">
          <a:extLst>
            <a:ext uri="{FF2B5EF4-FFF2-40B4-BE49-F238E27FC236}">
              <a16:creationId xmlns:a16="http://schemas.microsoft.com/office/drawing/2014/main" id="{00000000-0008-0000-0200-00000C000000}"/>
            </a:ext>
          </a:extLst>
        </xdr:cNvPr>
        <xdr:cNvPicPr preferRelativeResize="0"/>
      </xdr:nvPicPr>
      <xdr:blipFill>
        <a:blip xmlns:r="http://schemas.openxmlformats.org/officeDocument/2006/relationships" r:embed="rId11" cstate="print"/>
        <a:stretch>
          <a:fillRect/>
        </a:stretch>
      </xdr:blipFill>
      <xdr:spPr>
        <a:prstGeom prst="rect">
          <a:avLst/>
        </a:prstGeom>
        <a:noFill/>
      </xdr:spPr>
    </xdr:pic>
    <xdr:clientData fLocksWithSheet="0"/>
  </xdr:oneCellAnchor>
  <xdr:oneCellAnchor>
    <xdr:from>
      <xdr:col>3</xdr:col>
      <xdr:colOff>0</xdr:colOff>
      <xdr:row>8</xdr:row>
      <xdr:rowOff>0</xdr:rowOff>
    </xdr:from>
    <xdr:ext cx="2105025" cy="2085975"/>
    <xdr:pic>
      <xdr:nvPicPr>
        <xdr:cNvPr id="13" name="image7.png" title="Imagen">
          <a:extLst>
            <a:ext uri="{FF2B5EF4-FFF2-40B4-BE49-F238E27FC236}">
              <a16:creationId xmlns:a16="http://schemas.microsoft.com/office/drawing/2014/main" id="{00000000-0008-0000-0200-00000D000000}"/>
            </a:ext>
          </a:extLst>
        </xdr:cNvPr>
        <xdr:cNvPicPr preferRelativeResize="0"/>
      </xdr:nvPicPr>
      <xdr:blipFill>
        <a:blip xmlns:r="http://schemas.openxmlformats.org/officeDocument/2006/relationships" r:embed="rId12" cstate="print"/>
        <a:stretch>
          <a:fillRect/>
        </a:stretch>
      </xdr:blipFill>
      <xdr:spPr>
        <a:prstGeom prst="rect">
          <a:avLst/>
        </a:prstGeom>
        <a:noFill/>
      </xdr:spPr>
    </xdr:pic>
    <xdr:clientData fLocksWithSheet="0"/>
  </xdr:oneCellAnchor>
  <xdr:oneCellAnchor>
    <xdr:from>
      <xdr:col>2</xdr:col>
      <xdr:colOff>0</xdr:colOff>
      <xdr:row>9</xdr:row>
      <xdr:rowOff>0</xdr:rowOff>
    </xdr:from>
    <xdr:ext cx="2952750" cy="2085975"/>
    <xdr:pic>
      <xdr:nvPicPr>
        <xdr:cNvPr id="14" name="image13.png">
          <a:extLst>
            <a:ext uri="{FF2B5EF4-FFF2-40B4-BE49-F238E27FC236}">
              <a16:creationId xmlns:a16="http://schemas.microsoft.com/office/drawing/2014/main" id="{00000000-0008-0000-0200-00000E000000}"/>
            </a:ext>
          </a:extLst>
        </xdr:cNvPr>
        <xdr:cNvPicPr preferRelativeResize="0"/>
      </xdr:nvPicPr>
      <xdr:blipFill>
        <a:blip xmlns:r="http://schemas.openxmlformats.org/officeDocument/2006/relationships" r:embed="rId13" cstate="print"/>
        <a:stretch>
          <a:fillRect/>
        </a:stretch>
      </xdr:blipFill>
      <xdr:spPr>
        <a:prstGeom prst="rect">
          <a:avLst/>
        </a:prstGeom>
        <a:noFill/>
      </xdr:spPr>
    </xdr:pic>
    <xdr:clientData fLocksWithSheet="0"/>
  </xdr:oneCellAnchor>
  <xdr:oneCellAnchor>
    <xdr:from>
      <xdr:col>2</xdr:col>
      <xdr:colOff>0</xdr:colOff>
      <xdr:row>10</xdr:row>
      <xdr:rowOff>0</xdr:rowOff>
    </xdr:from>
    <xdr:ext cx="2047875" cy="2085975"/>
    <xdr:pic>
      <xdr:nvPicPr>
        <xdr:cNvPr id="15" name="image5.png">
          <a:extLst>
            <a:ext uri="{FF2B5EF4-FFF2-40B4-BE49-F238E27FC236}">
              <a16:creationId xmlns:a16="http://schemas.microsoft.com/office/drawing/2014/main" id="{00000000-0008-0000-0200-00000F000000}"/>
            </a:ext>
          </a:extLst>
        </xdr:cNvPr>
        <xdr:cNvPicPr preferRelativeResize="0"/>
      </xdr:nvPicPr>
      <xdr:blipFill>
        <a:blip xmlns:r="http://schemas.openxmlformats.org/officeDocument/2006/relationships" r:embed="rId14" cstate="print"/>
        <a:stretch>
          <a:fillRect/>
        </a:stretch>
      </xdr:blipFill>
      <xdr:spPr>
        <a:prstGeom prst="rect">
          <a:avLst/>
        </a:prstGeom>
        <a:noFill/>
      </xdr:spPr>
    </xdr:pic>
    <xdr:clientData fLocksWithSheet="0"/>
  </xdr:oneCellAnchor>
  <xdr:oneCellAnchor>
    <xdr:from>
      <xdr:col>3</xdr:col>
      <xdr:colOff>0</xdr:colOff>
      <xdr:row>10</xdr:row>
      <xdr:rowOff>0</xdr:rowOff>
    </xdr:from>
    <xdr:ext cx="3152775" cy="1857375"/>
    <xdr:pic>
      <xdr:nvPicPr>
        <xdr:cNvPr id="16" name="image21.png">
          <a:extLst>
            <a:ext uri="{FF2B5EF4-FFF2-40B4-BE49-F238E27FC236}">
              <a16:creationId xmlns:a16="http://schemas.microsoft.com/office/drawing/2014/main" id="{00000000-0008-0000-0200-000010000000}"/>
            </a:ext>
          </a:extLst>
        </xdr:cNvPr>
        <xdr:cNvPicPr preferRelativeResize="0"/>
      </xdr:nvPicPr>
      <xdr:blipFill>
        <a:blip xmlns:r="http://schemas.openxmlformats.org/officeDocument/2006/relationships" r:embed="rId15" cstate="print"/>
        <a:stretch>
          <a:fillRect/>
        </a:stretch>
      </xdr:blipFill>
      <xdr:spPr>
        <a:prstGeom prst="rect">
          <a:avLst/>
        </a:prstGeom>
        <a:noFill/>
      </xdr:spPr>
    </xdr:pic>
    <xdr:clientData fLocksWithSheet="0"/>
  </xdr:oneCellAnchor>
  <xdr:oneCellAnchor>
    <xdr:from>
      <xdr:col>2</xdr:col>
      <xdr:colOff>0</xdr:colOff>
      <xdr:row>11</xdr:row>
      <xdr:rowOff>0</xdr:rowOff>
    </xdr:from>
    <xdr:ext cx="2038350" cy="2085975"/>
    <xdr:pic>
      <xdr:nvPicPr>
        <xdr:cNvPr id="17" name="image6.png">
          <a:extLst>
            <a:ext uri="{FF2B5EF4-FFF2-40B4-BE49-F238E27FC236}">
              <a16:creationId xmlns:a16="http://schemas.microsoft.com/office/drawing/2014/main" id="{00000000-0008-0000-0200-000011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3</xdr:col>
      <xdr:colOff>0</xdr:colOff>
      <xdr:row>11</xdr:row>
      <xdr:rowOff>0</xdr:rowOff>
    </xdr:from>
    <xdr:ext cx="2257425" cy="2085975"/>
    <xdr:pic>
      <xdr:nvPicPr>
        <xdr:cNvPr id="18" name="image3.png">
          <a:extLst>
            <a:ext uri="{FF2B5EF4-FFF2-40B4-BE49-F238E27FC236}">
              <a16:creationId xmlns:a16="http://schemas.microsoft.com/office/drawing/2014/main" id="{00000000-0008-0000-0200-000012000000}"/>
            </a:ext>
          </a:extLst>
        </xdr:cNvPr>
        <xdr:cNvPicPr preferRelativeResize="0"/>
      </xdr:nvPicPr>
      <xdr:blipFill>
        <a:blip xmlns:r="http://schemas.openxmlformats.org/officeDocument/2006/relationships" r:embed="rId17" cstate="print"/>
        <a:stretch>
          <a:fillRect/>
        </a:stretch>
      </xdr:blipFill>
      <xdr:spPr>
        <a:prstGeom prst="rect">
          <a:avLst/>
        </a:prstGeom>
        <a:noFill/>
      </xdr:spPr>
    </xdr:pic>
    <xdr:clientData fLocksWithSheet="0"/>
  </xdr:oneCellAnchor>
  <xdr:oneCellAnchor>
    <xdr:from>
      <xdr:col>2</xdr:col>
      <xdr:colOff>0</xdr:colOff>
      <xdr:row>12</xdr:row>
      <xdr:rowOff>0</xdr:rowOff>
    </xdr:from>
    <xdr:ext cx="2038350" cy="2085975"/>
    <xdr:pic>
      <xdr:nvPicPr>
        <xdr:cNvPr id="19" name="image6.png">
          <a:extLst>
            <a:ext uri="{FF2B5EF4-FFF2-40B4-BE49-F238E27FC236}">
              <a16:creationId xmlns:a16="http://schemas.microsoft.com/office/drawing/2014/main" id="{00000000-0008-0000-0200-000013000000}"/>
            </a:ext>
          </a:extLst>
        </xdr:cNvPr>
        <xdr:cNvPicPr preferRelativeResize="0"/>
      </xdr:nvPicPr>
      <xdr:blipFill>
        <a:blip xmlns:r="http://schemas.openxmlformats.org/officeDocument/2006/relationships" r:embed="rId16" cstate="print"/>
        <a:stretch>
          <a:fillRect/>
        </a:stretch>
      </xdr:blipFill>
      <xdr:spPr>
        <a:prstGeom prst="rect">
          <a:avLst/>
        </a:prstGeom>
        <a:noFill/>
      </xdr:spPr>
    </xdr:pic>
    <xdr:clientData fLocksWithSheet="0"/>
  </xdr:oneCellAnchor>
  <xdr:oneCellAnchor>
    <xdr:from>
      <xdr:col>3</xdr:col>
      <xdr:colOff>0</xdr:colOff>
      <xdr:row>12</xdr:row>
      <xdr:rowOff>0</xdr:rowOff>
    </xdr:from>
    <xdr:ext cx="1562100" cy="2076450"/>
    <xdr:pic>
      <xdr:nvPicPr>
        <xdr:cNvPr id="20" name="image22.jpg">
          <a:extLst>
            <a:ext uri="{FF2B5EF4-FFF2-40B4-BE49-F238E27FC236}">
              <a16:creationId xmlns:a16="http://schemas.microsoft.com/office/drawing/2014/main" id="{00000000-0008-0000-0200-000014000000}"/>
            </a:ext>
          </a:extLst>
        </xdr:cNvPr>
        <xdr:cNvPicPr preferRelativeResize="0"/>
      </xdr:nvPicPr>
      <xdr:blipFill>
        <a:blip xmlns:r="http://schemas.openxmlformats.org/officeDocument/2006/relationships" r:embed="rId18" cstate="print"/>
        <a:stretch>
          <a:fillRect/>
        </a:stretch>
      </xdr:blipFill>
      <xdr:spPr>
        <a:prstGeom prst="rect">
          <a:avLst/>
        </a:prstGeom>
        <a:noFill/>
      </xdr:spPr>
    </xdr:pic>
    <xdr:clientData fLocksWithSheet="0"/>
  </xdr:oneCellAnchor>
  <xdr:oneCellAnchor>
    <xdr:from>
      <xdr:col>2</xdr:col>
      <xdr:colOff>0</xdr:colOff>
      <xdr:row>13</xdr:row>
      <xdr:rowOff>0</xdr:rowOff>
    </xdr:from>
    <xdr:ext cx="2609850" cy="2085975"/>
    <xdr:pic>
      <xdr:nvPicPr>
        <xdr:cNvPr id="21" name="image1.png">
          <a:extLst>
            <a:ext uri="{FF2B5EF4-FFF2-40B4-BE49-F238E27FC236}">
              <a16:creationId xmlns:a16="http://schemas.microsoft.com/office/drawing/2014/main" id="{00000000-0008-0000-0200-000015000000}"/>
            </a:ext>
          </a:extLst>
        </xdr:cNvPr>
        <xdr:cNvPicPr preferRelativeResize="0"/>
      </xdr:nvPicPr>
      <xdr:blipFill>
        <a:blip xmlns:r="http://schemas.openxmlformats.org/officeDocument/2006/relationships" r:embed="rId19" cstate="print"/>
        <a:stretch>
          <a:fillRect/>
        </a:stretch>
      </xdr:blipFill>
      <xdr:spPr>
        <a:prstGeom prst="rect">
          <a:avLst/>
        </a:prstGeom>
        <a:noFill/>
      </xdr:spPr>
    </xdr:pic>
    <xdr:clientData fLocksWithSheet="0"/>
  </xdr:oneCellAnchor>
  <xdr:oneCellAnchor>
    <xdr:from>
      <xdr:col>3</xdr:col>
      <xdr:colOff>0</xdr:colOff>
      <xdr:row>13</xdr:row>
      <xdr:rowOff>0</xdr:rowOff>
    </xdr:from>
    <xdr:ext cx="1171575" cy="2085975"/>
    <xdr:pic>
      <xdr:nvPicPr>
        <xdr:cNvPr id="22" name="image18.jpg">
          <a:extLst>
            <a:ext uri="{FF2B5EF4-FFF2-40B4-BE49-F238E27FC236}">
              <a16:creationId xmlns:a16="http://schemas.microsoft.com/office/drawing/2014/main" id="{00000000-0008-0000-0200-000016000000}"/>
            </a:ext>
          </a:extLst>
        </xdr:cNvPr>
        <xdr:cNvPicPr preferRelativeResize="0"/>
      </xdr:nvPicPr>
      <xdr:blipFill>
        <a:blip xmlns:r="http://schemas.openxmlformats.org/officeDocument/2006/relationships" r:embed="rId20" cstate="print"/>
        <a:stretch>
          <a:fillRect/>
        </a:stretch>
      </xdr:blipFill>
      <xdr:spPr>
        <a:prstGeom prst="rect">
          <a:avLst/>
        </a:prstGeom>
        <a:noFill/>
      </xdr:spPr>
    </xdr:pic>
    <xdr:clientData fLocksWithSheet="0"/>
  </xdr:oneCellAnchor>
  <xdr:oneCellAnchor>
    <xdr:from>
      <xdr:col>2</xdr:col>
      <xdr:colOff>0</xdr:colOff>
      <xdr:row>14</xdr:row>
      <xdr:rowOff>0</xdr:rowOff>
    </xdr:from>
    <xdr:ext cx="2085975" cy="2085975"/>
    <xdr:pic>
      <xdr:nvPicPr>
        <xdr:cNvPr id="23" name="image17.png">
          <a:extLst>
            <a:ext uri="{FF2B5EF4-FFF2-40B4-BE49-F238E27FC236}">
              <a16:creationId xmlns:a16="http://schemas.microsoft.com/office/drawing/2014/main" id="{00000000-0008-0000-0200-000017000000}"/>
            </a:ext>
          </a:extLst>
        </xdr:cNvPr>
        <xdr:cNvPicPr preferRelativeResize="0"/>
      </xdr:nvPicPr>
      <xdr:blipFill>
        <a:blip xmlns:r="http://schemas.openxmlformats.org/officeDocument/2006/relationships" r:embed="rId21" cstate="print"/>
        <a:stretch>
          <a:fillRect/>
        </a:stretch>
      </xdr:blipFill>
      <xdr:spPr>
        <a:prstGeom prst="rect">
          <a:avLst/>
        </a:prstGeom>
        <a:noFill/>
      </xdr:spPr>
    </xdr:pic>
    <xdr:clientData fLocksWithSheet="0"/>
  </xdr:oneCellAnchor>
  <xdr:oneCellAnchor>
    <xdr:from>
      <xdr:col>3</xdr:col>
      <xdr:colOff>0</xdr:colOff>
      <xdr:row>14</xdr:row>
      <xdr:rowOff>0</xdr:rowOff>
    </xdr:from>
    <xdr:ext cx="1495425" cy="2085975"/>
    <xdr:pic>
      <xdr:nvPicPr>
        <xdr:cNvPr id="24" name="image16.png" title="Imagen">
          <a:extLst>
            <a:ext uri="{FF2B5EF4-FFF2-40B4-BE49-F238E27FC236}">
              <a16:creationId xmlns:a16="http://schemas.microsoft.com/office/drawing/2014/main" id="{00000000-0008-0000-0200-000018000000}"/>
            </a:ext>
          </a:extLst>
        </xdr:cNvPr>
        <xdr:cNvPicPr preferRelativeResize="0"/>
      </xdr:nvPicPr>
      <xdr:blipFill>
        <a:blip xmlns:r="http://schemas.openxmlformats.org/officeDocument/2006/relationships" r:embed="rId22" cstate="print"/>
        <a:stretch>
          <a:fillRect/>
        </a:stretch>
      </xdr:blipFill>
      <xdr:spPr>
        <a:prstGeom prst="rect">
          <a:avLst/>
        </a:prstGeom>
        <a:noFill/>
      </xdr:spPr>
    </xdr:pic>
    <xdr:clientData fLocksWithSheet="0"/>
  </xdr:oneCellAnchor>
  <xdr:oneCellAnchor>
    <xdr:from>
      <xdr:col>2</xdr:col>
      <xdr:colOff>0</xdr:colOff>
      <xdr:row>15</xdr:row>
      <xdr:rowOff>0</xdr:rowOff>
    </xdr:from>
    <xdr:ext cx="3486150" cy="2085975"/>
    <xdr:pic>
      <xdr:nvPicPr>
        <xdr:cNvPr id="25" name="image12.png" title="Imagen">
          <a:extLst>
            <a:ext uri="{FF2B5EF4-FFF2-40B4-BE49-F238E27FC236}">
              <a16:creationId xmlns:a16="http://schemas.microsoft.com/office/drawing/2014/main" id="{00000000-0008-0000-0200-000019000000}"/>
            </a:ext>
          </a:extLst>
        </xdr:cNvPr>
        <xdr:cNvPicPr preferRelativeResize="0"/>
      </xdr:nvPicPr>
      <xdr:blipFill>
        <a:blip xmlns:r="http://schemas.openxmlformats.org/officeDocument/2006/relationships" r:embed="rId23" cstate="print"/>
        <a:stretch>
          <a:fillRect/>
        </a:stretch>
      </xdr:blipFill>
      <xdr:spPr>
        <a:prstGeom prst="rect">
          <a:avLst/>
        </a:prstGeom>
        <a:noFill/>
      </xdr:spPr>
    </xdr:pic>
    <xdr:clientData fLocksWithSheet="0"/>
  </xdr:oneCellAnchor>
  <xdr:oneCellAnchor>
    <xdr:from>
      <xdr:col>2</xdr:col>
      <xdr:colOff>0</xdr:colOff>
      <xdr:row>16</xdr:row>
      <xdr:rowOff>0</xdr:rowOff>
    </xdr:from>
    <xdr:ext cx="1657350" cy="2085975"/>
    <xdr:pic>
      <xdr:nvPicPr>
        <xdr:cNvPr id="26" name="image10.png" title="Imagen">
          <a:extLst>
            <a:ext uri="{FF2B5EF4-FFF2-40B4-BE49-F238E27FC236}">
              <a16:creationId xmlns:a16="http://schemas.microsoft.com/office/drawing/2014/main" id="{00000000-0008-0000-0200-00001A000000}"/>
            </a:ext>
          </a:extLst>
        </xdr:cNvPr>
        <xdr:cNvPicPr preferRelativeResize="0"/>
      </xdr:nvPicPr>
      <xdr:blipFill>
        <a:blip xmlns:r="http://schemas.openxmlformats.org/officeDocument/2006/relationships" r:embed="rId24" cstate="print"/>
        <a:stretch>
          <a:fillRect/>
        </a:stretch>
      </xdr:blipFill>
      <xdr:spPr>
        <a:prstGeom prst="rect">
          <a:avLst/>
        </a:prstGeom>
        <a:noFill/>
      </xdr:spPr>
    </xdr:pic>
    <xdr:clientData fLocksWithSheet="0"/>
  </xdr:oneCellAnchor>
  <xdr:oneCellAnchor>
    <xdr:from>
      <xdr:col>2</xdr:col>
      <xdr:colOff>0</xdr:colOff>
      <xdr:row>17</xdr:row>
      <xdr:rowOff>0</xdr:rowOff>
    </xdr:from>
    <xdr:ext cx="2438400" cy="2085975"/>
    <xdr:pic>
      <xdr:nvPicPr>
        <xdr:cNvPr id="27" name="image32.png">
          <a:extLst>
            <a:ext uri="{FF2B5EF4-FFF2-40B4-BE49-F238E27FC236}">
              <a16:creationId xmlns:a16="http://schemas.microsoft.com/office/drawing/2014/main" id="{00000000-0008-0000-0200-00001B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3</xdr:col>
      <xdr:colOff>0</xdr:colOff>
      <xdr:row>17</xdr:row>
      <xdr:rowOff>0</xdr:rowOff>
    </xdr:from>
    <xdr:ext cx="1933575" cy="2085975"/>
    <xdr:pic>
      <xdr:nvPicPr>
        <xdr:cNvPr id="28" name="image48.png">
          <a:extLst>
            <a:ext uri="{FF2B5EF4-FFF2-40B4-BE49-F238E27FC236}">
              <a16:creationId xmlns:a16="http://schemas.microsoft.com/office/drawing/2014/main" id="{00000000-0008-0000-0200-00001C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18</xdr:row>
      <xdr:rowOff>0</xdr:rowOff>
    </xdr:from>
    <xdr:ext cx="1962150" cy="2085975"/>
    <xdr:pic>
      <xdr:nvPicPr>
        <xdr:cNvPr id="29" name="image26.png">
          <a:extLst>
            <a:ext uri="{FF2B5EF4-FFF2-40B4-BE49-F238E27FC236}">
              <a16:creationId xmlns:a16="http://schemas.microsoft.com/office/drawing/2014/main" id="{00000000-0008-0000-0200-00001D000000}"/>
            </a:ext>
          </a:extLst>
        </xdr:cNvPr>
        <xdr:cNvPicPr preferRelativeResize="0"/>
      </xdr:nvPicPr>
      <xdr:blipFill>
        <a:blip xmlns:r="http://schemas.openxmlformats.org/officeDocument/2006/relationships" r:embed="rId27" cstate="print"/>
        <a:stretch>
          <a:fillRect/>
        </a:stretch>
      </xdr:blipFill>
      <xdr:spPr>
        <a:prstGeom prst="rect">
          <a:avLst/>
        </a:prstGeom>
        <a:noFill/>
      </xdr:spPr>
    </xdr:pic>
    <xdr:clientData fLocksWithSheet="0"/>
  </xdr:oneCellAnchor>
  <xdr:oneCellAnchor>
    <xdr:from>
      <xdr:col>3</xdr:col>
      <xdr:colOff>0</xdr:colOff>
      <xdr:row>18</xdr:row>
      <xdr:rowOff>0</xdr:rowOff>
    </xdr:from>
    <xdr:ext cx="1933575" cy="2085975"/>
    <xdr:pic>
      <xdr:nvPicPr>
        <xdr:cNvPr id="30" name="image48.png">
          <a:extLst>
            <a:ext uri="{FF2B5EF4-FFF2-40B4-BE49-F238E27FC236}">
              <a16:creationId xmlns:a16="http://schemas.microsoft.com/office/drawing/2014/main" id="{00000000-0008-0000-0200-00001E000000}"/>
            </a:ext>
          </a:extLst>
        </xdr:cNvPr>
        <xdr:cNvPicPr preferRelativeResize="0"/>
      </xdr:nvPicPr>
      <xdr:blipFill>
        <a:blip xmlns:r="http://schemas.openxmlformats.org/officeDocument/2006/relationships" r:embed="rId26" cstate="print"/>
        <a:stretch>
          <a:fillRect/>
        </a:stretch>
      </xdr:blipFill>
      <xdr:spPr>
        <a:prstGeom prst="rect">
          <a:avLst/>
        </a:prstGeom>
        <a:noFill/>
      </xdr:spPr>
    </xdr:pic>
    <xdr:clientData fLocksWithSheet="0"/>
  </xdr:oneCellAnchor>
  <xdr:oneCellAnchor>
    <xdr:from>
      <xdr:col>2</xdr:col>
      <xdr:colOff>0</xdr:colOff>
      <xdr:row>20</xdr:row>
      <xdr:rowOff>0</xdr:rowOff>
    </xdr:from>
    <xdr:ext cx="2028825" cy="2085975"/>
    <xdr:pic>
      <xdr:nvPicPr>
        <xdr:cNvPr id="31" name="image20.png">
          <a:extLst>
            <a:ext uri="{FF2B5EF4-FFF2-40B4-BE49-F238E27FC236}">
              <a16:creationId xmlns:a16="http://schemas.microsoft.com/office/drawing/2014/main" id="{00000000-0008-0000-0200-00001F000000}"/>
            </a:ext>
          </a:extLst>
        </xdr:cNvPr>
        <xdr:cNvPicPr preferRelativeResize="0"/>
      </xdr:nvPicPr>
      <xdr:blipFill>
        <a:blip xmlns:r="http://schemas.openxmlformats.org/officeDocument/2006/relationships" r:embed="rId28" cstate="print"/>
        <a:stretch>
          <a:fillRect/>
        </a:stretch>
      </xdr:blipFill>
      <xdr:spPr>
        <a:prstGeom prst="rect">
          <a:avLst/>
        </a:prstGeom>
        <a:noFill/>
      </xdr:spPr>
    </xdr:pic>
    <xdr:clientData fLocksWithSheet="0"/>
  </xdr:oneCellAnchor>
  <xdr:oneCellAnchor>
    <xdr:from>
      <xdr:col>3</xdr:col>
      <xdr:colOff>0</xdr:colOff>
      <xdr:row>20</xdr:row>
      <xdr:rowOff>0</xdr:rowOff>
    </xdr:from>
    <xdr:ext cx="1343025" cy="2076450"/>
    <xdr:pic>
      <xdr:nvPicPr>
        <xdr:cNvPr id="32" name="image41.png">
          <a:extLst>
            <a:ext uri="{FF2B5EF4-FFF2-40B4-BE49-F238E27FC236}">
              <a16:creationId xmlns:a16="http://schemas.microsoft.com/office/drawing/2014/main" id="{00000000-0008-0000-0200-000020000000}"/>
            </a:ext>
          </a:extLst>
        </xdr:cNvPr>
        <xdr:cNvPicPr preferRelativeResize="0"/>
      </xdr:nvPicPr>
      <xdr:blipFill>
        <a:blip xmlns:r="http://schemas.openxmlformats.org/officeDocument/2006/relationships" r:embed="rId29" cstate="print"/>
        <a:stretch>
          <a:fillRect/>
        </a:stretch>
      </xdr:blipFill>
      <xdr:spPr>
        <a:prstGeom prst="rect">
          <a:avLst/>
        </a:prstGeom>
        <a:noFill/>
      </xdr:spPr>
    </xdr:pic>
    <xdr:clientData fLocksWithSheet="0"/>
  </xdr:oneCellAnchor>
  <xdr:oneCellAnchor>
    <xdr:from>
      <xdr:col>2</xdr:col>
      <xdr:colOff>0</xdr:colOff>
      <xdr:row>21</xdr:row>
      <xdr:rowOff>0</xdr:rowOff>
    </xdr:from>
    <xdr:ext cx="1362075" cy="2085975"/>
    <xdr:pic>
      <xdr:nvPicPr>
        <xdr:cNvPr id="33" name="image27.png">
          <a:extLst>
            <a:ext uri="{FF2B5EF4-FFF2-40B4-BE49-F238E27FC236}">
              <a16:creationId xmlns:a16="http://schemas.microsoft.com/office/drawing/2014/main" id="{00000000-0008-0000-0200-000021000000}"/>
            </a:ext>
          </a:extLst>
        </xdr:cNvPr>
        <xdr:cNvPicPr preferRelativeResize="0"/>
      </xdr:nvPicPr>
      <xdr:blipFill>
        <a:blip xmlns:r="http://schemas.openxmlformats.org/officeDocument/2006/relationships" r:embed="rId30" cstate="print"/>
        <a:stretch>
          <a:fillRect/>
        </a:stretch>
      </xdr:blipFill>
      <xdr:spPr>
        <a:prstGeom prst="rect">
          <a:avLst/>
        </a:prstGeom>
        <a:noFill/>
      </xdr:spPr>
    </xdr:pic>
    <xdr:clientData fLocksWithSheet="0"/>
  </xdr:oneCellAnchor>
  <xdr:oneCellAnchor>
    <xdr:from>
      <xdr:col>3</xdr:col>
      <xdr:colOff>0</xdr:colOff>
      <xdr:row>21</xdr:row>
      <xdr:rowOff>0</xdr:rowOff>
    </xdr:from>
    <xdr:ext cx="2695575" cy="2085975"/>
    <xdr:pic>
      <xdr:nvPicPr>
        <xdr:cNvPr id="34" name="image25.png" title="Imagen">
          <a:extLst>
            <a:ext uri="{FF2B5EF4-FFF2-40B4-BE49-F238E27FC236}">
              <a16:creationId xmlns:a16="http://schemas.microsoft.com/office/drawing/2014/main" id="{00000000-0008-0000-0200-000022000000}"/>
            </a:ext>
          </a:extLst>
        </xdr:cNvPr>
        <xdr:cNvPicPr preferRelativeResize="0"/>
      </xdr:nvPicPr>
      <xdr:blipFill>
        <a:blip xmlns:r="http://schemas.openxmlformats.org/officeDocument/2006/relationships" r:embed="rId31" cstate="print"/>
        <a:stretch>
          <a:fillRect/>
        </a:stretch>
      </xdr:blipFill>
      <xdr:spPr>
        <a:prstGeom prst="rect">
          <a:avLst/>
        </a:prstGeom>
        <a:noFill/>
      </xdr:spPr>
    </xdr:pic>
    <xdr:clientData fLocksWithSheet="0"/>
  </xdr:oneCellAnchor>
  <xdr:oneCellAnchor>
    <xdr:from>
      <xdr:col>2</xdr:col>
      <xdr:colOff>0</xdr:colOff>
      <xdr:row>22</xdr:row>
      <xdr:rowOff>0</xdr:rowOff>
    </xdr:from>
    <xdr:ext cx="2133600" cy="2085975"/>
    <xdr:pic>
      <xdr:nvPicPr>
        <xdr:cNvPr id="35" name="image38.jpg">
          <a:extLst>
            <a:ext uri="{FF2B5EF4-FFF2-40B4-BE49-F238E27FC236}">
              <a16:creationId xmlns:a16="http://schemas.microsoft.com/office/drawing/2014/main" id="{00000000-0008-0000-0200-000023000000}"/>
            </a:ext>
          </a:extLst>
        </xdr:cNvPr>
        <xdr:cNvPicPr preferRelativeResize="0"/>
      </xdr:nvPicPr>
      <xdr:blipFill>
        <a:blip xmlns:r="http://schemas.openxmlformats.org/officeDocument/2006/relationships" r:embed="rId32" cstate="print"/>
        <a:stretch>
          <a:fillRect/>
        </a:stretch>
      </xdr:blipFill>
      <xdr:spPr>
        <a:prstGeom prst="rect">
          <a:avLst/>
        </a:prstGeom>
        <a:noFill/>
      </xdr:spPr>
    </xdr:pic>
    <xdr:clientData fLocksWithSheet="0"/>
  </xdr:oneCellAnchor>
  <xdr:oneCellAnchor>
    <xdr:from>
      <xdr:col>3</xdr:col>
      <xdr:colOff>0</xdr:colOff>
      <xdr:row>22</xdr:row>
      <xdr:rowOff>0</xdr:rowOff>
    </xdr:from>
    <xdr:ext cx="2847975" cy="2076450"/>
    <xdr:pic>
      <xdr:nvPicPr>
        <xdr:cNvPr id="36" name="image39.png" title="Imagen">
          <a:extLst>
            <a:ext uri="{FF2B5EF4-FFF2-40B4-BE49-F238E27FC236}">
              <a16:creationId xmlns:a16="http://schemas.microsoft.com/office/drawing/2014/main" id="{00000000-0008-0000-0200-000024000000}"/>
            </a:ext>
          </a:extLst>
        </xdr:cNvPr>
        <xdr:cNvPicPr preferRelativeResize="0"/>
      </xdr:nvPicPr>
      <xdr:blipFill>
        <a:blip xmlns:r="http://schemas.openxmlformats.org/officeDocument/2006/relationships" r:embed="rId33" cstate="print"/>
        <a:stretch>
          <a:fillRect/>
        </a:stretch>
      </xdr:blipFill>
      <xdr:spPr>
        <a:prstGeom prst="rect">
          <a:avLst/>
        </a:prstGeom>
        <a:noFill/>
      </xdr:spPr>
    </xdr:pic>
    <xdr:clientData fLocksWithSheet="0"/>
  </xdr:oneCellAnchor>
  <xdr:oneCellAnchor>
    <xdr:from>
      <xdr:col>2</xdr:col>
      <xdr:colOff>0</xdr:colOff>
      <xdr:row>23</xdr:row>
      <xdr:rowOff>0</xdr:rowOff>
    </xdr:from>
    <xdr:ext cx="2105025" cy="2076450"/>
    <xdr:pic>
      <xdr:nvPicPr>
        <xdr:cNvPr id="37" name="image30.png">
          <a:extLst>
            <a:ext uri="{FF2B5EF4-FFF2-40B4-BE49-F238E27FC236}">
              <a16:creationId xmlns:a16="http://schemas.microsoft.com/office/drawing/2014/main" id="{00000000-0008-0000-0200-000025000000}"/>
            </a:ext>
          </a:extLst>
        </xdr:cNvPr>
        <xdr:cNvPicPr preferRelativeResize="0"/>
      </xdr:nvPicPr>
      <xdr:blipFill>
        <a:blip xmlns:r="http://schemas.openxmlformats.org/officeDocument/2006/relationships" r:embed="rId34" cstate="print"/>
        <a:stretch>
          <a:fillRect/>
        </a:stretch>
      </xdr:blipFill>
      <xdr:spPr>
        <a:prstGeom prst="rect">
          <a:avLst/>
        </a:prstGeom>
        <a:noFill/>
      </xdr:spPr>
    </xdr:pic>
    <xdr:clientData fLocksWithSheet="0"/>
  </xdr:oneCellAnchor>
  <xdr:oneCellAnchor>
    <xdr:from>
      <xdr:col>3</xdr:col>
      <xdr:colOff>0</xdr:colOff>
      <xdr:row>23</xdr:row>
      <xdr:rowOff>0</xdr:rowOff>
    </xdr:from>
    <xdr:ext cx="2276475" cy="2085975"/>
    <xdr:pic>
      <xdr:nvPicPr>
        <xdr:cNvPr id="38" name="image33.png">
          <a:extLst>
            <a:ext uri="{FF2B5EF4-FFF2-40B4-BE49-F238E27FC236}">
              <a16:creationId xmlns:a16="http://schemas.microsoft.com/office/drawing/2014/main" id="{00000000-0008-0000-0200-000026000000}"/>
            </a:ext>
          </a:extLst>
        </xdr:cNvPr>
        <xdr:cNvPicPr preferRelativeResize="0"/>
      </xdr:nvPicPr>
      <xdr:blipFill>
        <a:blip xmlns:r="http://schemas.openxmlformats.org/officeDocument/2006/relationships" r:embed="rId35" cstate="print"/>
        <a:stretch>
          <a:fillRect/>
        </a:stretch>
      </xdr:blipFill>
      <xdr:spPr>
        <a:prstGeom prst="rect">
          <a:avLst/>
        </a:prstGeom>
        <a:noFill/>
      </xdr:spPr>
    </xdr:pic>
    <xdr:clientData fLocksWithSheet="0"/>
  </xdr:oneCellAnchor>
  <xdr:oneCellAnchor>
    <xdr:from>
      <xdr:col>2</xdr:col>
      <xdr:colOff>0</xdr:colOff>
      <xdr:row>25</xdr:row>
      <xdr:rowOff>0</xdr:rowOff>
    </xdr:from>
    <xdr:ext cx="1905000" cy="2076450"/>
    <xdr:pic>
      <xdr:nvPicPr>
        <xdr:cNvPr id="39" name="image31.png">
          <a:extLst>
            <a:ext uri="{FF2B5EF4-FFF2-40B4-BE49-F238E27FC236}">
              <a16:creationId xmlns:a16="http://schemas.microsoft.com/office/drawing/2014/main" id="{00000000-0008-0000-0200-000027000000}"/>
            </a:ext>
          </a:extLst>
        </xdr:cNvPr>
        <xdr:cNvPicPr preferRelativeResize="0"/>
      </xdr:nvPicPr>
      <xdr:blipFill>
        <a:blip xmlns:r="http://schemas.openxmlformats.org/officeDocument/2006/relationships" r:embed="rId36" cstate="print"/>
        <a:stretch>
          <a:fillRect/>
        </a:stretch>
      </xdr:blipFill>
      <xdr:spPr>
        <a:prstGeom prst="rect">
          <a:avLst/>
        </a:prstGeom>
        <a:noFill/>
      </xdr:spPr>
    </xdr:pic>
    <xdr:clientData fLocksWithSheet="0"/>
  </xdr:oneCellAnchor>
  <xdr:oneCellAnchor>
    <xdr:from>
      <xdr:col>3</xdr:col>
      <xdr:colOff>0</xdr:colOff>
      <xdr:row>25</xdr:row>
      <xdr:rowOff>0</xdr:rowOff>
    </xdr:from>
    <xdr:ext cx="1924050" cy="2085975"/>
    <xdr:pic>
      <xdr:nvPicPr>
        <xdr:cNvPr id="40" name="image47.png">
          <a:extLst>
            <a:ext uri="{FF2B5EF4-FFF2-40B4-BE49-F238E27FC236}">
              <a16:creationId xmlns:a16="http://schemas.microsoft.com/office/drawing/2014/main" id="{00000000-0008-0000-0200-000028000000}"/>
            </a:ext>
          </a:extLst>
        </xdr:cNvPr>
        <xdr:cNvPicPr preferRelativeResize="0"/>
      </xdr:nvPicPr>
      <xdr:blipFill>
        <a:blip xmlns:r="http://schemas.openxmlformats.org/officeDocument/2006/relationships" r:embed="rId37" cstate="print"/>
        <a:stretch>
          <a:fillRect/>
        </a:stretch>
      </xdr:blipFill>
      <xdr:spPr>
        <a:prstGeom prst="rect">
          <a:avLst/>
        </a:prstGeom>
        <a:noFill/>
      </xdr:spPr>
    </xdr:pic>
    <xdr:clientData fLocksWithSheet="0"/>
  </xdr:oneCellAnchor>
  <xdr:oneCellAnchor>
    <xdr:from>
      <xdr:col>2</xdr:col>
      <xdr:colOff>0</xdr:colOff>
      <xdr:row>26</xdr:row>
      <xdr:rowOff>0</xdr:rowOff>
    </xdr:from>
    <xdr:ext cx="2085975" cy="2085975"/>
    <xdr:pic>
      <xdr:nvPicPr>
        <xdr:cNvPr id="41" name="image35.png">
          <a:extLst>
            <a:ext uri="{FF2B5EF4-FFF2-40B4-BE49-F238E27FC236}">
              <a16:creationId xmlns:a16="http://schemas.microsoft.com/office/drawing/2014/main" id="{00000000-0008-0000-0200-000029000000}"/>
            </a:ext>
          </a:extLst>
        </xdr:cNvPr>
        <xdr:cNvPicPr preferRelativeResize="0"/>
      </xdr:nvPicPr>
      <xdr:blipFill>
        <a:blip xmlns:r="http://schemas.openxmlformats.org/officeDocument/2006/relationships" r:embed="rId38" cstate="print"/>
        <a:stretch>
          <a:fillRect/>
        </a:stretch>
      </xdr:blipFill>
      <xdr:spPr>
        <a:prstGeom prst="rect">
          <a:avLst/>
        </a:prstGeom>
        <a:noFill/>
      </xdr:spPr>
    </xdr:pic>
    <xdr:clientData fLocksWithSheet="0"/>
  </xdr:oneCellAnchor>
  <xdr:oneCellAnchor>
    <xdr:from>
      <xdr:col>3</xdr:col>
      <xdr:colOff>0</xdr:colOff>
      <xdr:row>26</xdr:row>
      <xdr:rowOff>0</xdr:rowOff>
    </xdr:from>
    <xdr:ext cx="3152775" cy="1533525"/>
    <xdr:pic>
      <xdr:nvPicPr>
        <xdr:cNvPr id="42" name="image28.png">
          <a:extLst>
            <a:ext uri="{FF2B5EF4-FFF2-40B4-BE49-F238E27FC236}">
              <a16:creationId xmlns:a16="http://schemas.microsoft.com/office/drawing/2014/main" id="{00000000-0008-0000-0200-00002A000000}"/>
            </a:ext>
          </a:extLst>
        </xdr:cNvPr>
        <xdr:cNvPicPr preferRelativeResize="0"/>
      </xdr:nvPicPr>
      <xdr:blipFill>
        <a:blip xmlns:r="http://schemas.openxmlformats.org/officeDocument/2006/relationships" r:embed="rId39" cstate="print"/>
        <a:stretch>
          <a:fillRect/>
        </a:stretch>
      </xdr:blipFill>
      <xdr:spPr>
        <a:prstGeom prst="rect">
          <a:avLst/>
        </a:prstGeom>
        <a:noFill/>
      </xdr:spPr>
    </xdr:pic>
    <xdr:clientData fLocksWithSheet="0"/>
  </xdr:oneCellAnchor>
  <xdr:oneCellAnchor>
    <xdr:from>
      <xdr:col>2</xdr:col>
      <xdr:colOff>0</xdr:colOff>
      <xdr:row>27</xdr:row>
      <xdr:rowOff>0</xdr:rowOff>
    </xdr:from>
    <xdr:ext cx="3114675" cy="2085975"/>
    <xdr:pic>
      <xdr:nvPicPr>
        <xdr:cNvPr id="43" name="image42.png">
          <a:extLst>
            <a:ext uri="{FF2B5EF4-FFF2-40B4-BE49-F238E27FC236}">
              <a16:creationId xmlns:a16="http://schemas.microsoft.com/office/drawing/2014/main" id="{00000000-0008-0000-0200-00002B000000}"/>
            </a:ext>
          </a:extLst>
        </xdr:cNvPr>
        <xdr:cNvPicPr preferRelativeResize="0"/>
      </xdr:nvPicPr>
      <xdr:blipFill>
        <a:blip xmlns:r="http://schemas.openxmlformats.org/officeDocument/2006/relationships" r:embed="rId40" cstate="print"/>
        <a:stretch>
          <a:fillRect/>
        </a:stretch>
      </xdr:blipFill>
      <xdr:spPr>
        <a:prstGeom prst="rect">
          <a:avLst/>
        </a:prstGeom>
        <a:noFill/>
      </xdr:spPr>
    </xdr:pic>
    <xdr:clientData fLocksWithSheet="0"/>
  </xdr:oneCellAnchor>
  <xdr:oneCellAnchor>
    <xdr:from>
      <xdr:col>3</xdr:col>
      <xdr:colOff>0</xdr:colOff>
      <xdr:row>27</xdr:row>
      <xdr:rowOff>0</xdr:rowOff>
    </xdr:from>
    <xdr:ext cx="1971675" cy="2085975"/>
    <xdr:pic>
      <xdr:nvPicPr>
        <xdr:cNvPr id="44" name="image34.png">
          <a:extLst>
            <a:ext uri="{FF2B5EF4-FFF2-40B4-BE49-F238E27FC236}">
              <a16:creationId xmlns:a16="http://schemas.microsoft.com/office/drawing/2014/main" id="{00000000-0008-0000-0200-00002C000000}"/>
            </a:ext>
          </a:extLst>
        </xdr:cNvPr>
        <xdr:cNvPicPr preferRelativeResize="0"/>
      </xdr:nvPicPr>
      <xdr:blipFill>
        <a:blip xmlns:r="http://schemas.openxmlformats.org/officeDocument/2006/relationships" r:embed="rId41" cstate="print"/>
        <a:stretch>
          <a:fillRect/>
        </a:stretch>
      </xdr:blipFill>
      <xdr:spPr>
        <a:prstGeom prst="rect">
          <a:avLst/>
        </a:prstGeom>
        <a:noFill/>
      </xdr:spPr>
    </xdr:pic>
    <xdr:clientData fLocksWithSheet="0"/>
  </xdr:oneCellAnchor>
  <xdr:oneCellAnchor>
    <xdr:from>
      <xdr:col>2</xdr:col>
      <xdr:colOff>0</xdr:colOff>
      <xdr:row>28</xdr:row>
      <xdr:rowOff>0</xdr:rowOff>
    </xdr:from>
    <xdr:ext cx="2124075" cy="2085975"/>
    <xdr:pic>
      <xdr:nvPicPr>
        <xdr:cNvPr id="45" name="image36.png">
          <a:extLst>
            <a:ext uri="{FF2B5EF4-FFF2-40B4-BE49-F238E27FC236}">
              <a16:creationId xmlns:a16="http://schemas.microsoft.com/office/drawing/2014/main" id="{00000000-0008-0000-0200-00002D000000}"/>
            </a:ext>
          </a:extLst>
        </xdr:cNvPr>
        <xdr:cNvPicPr preferRelativeResize="0"/>
      </xdr:nvPicPr>
      <xdr:blipFill>
        <a:blip xmlns:r="http://schemas.openxmlformats.org/officeDocument/2006/relationships" r:embed="rId42" cstate="print"/>
        <a:stretch>
          <a:fillRect/>
        </a:stretch>
      </xdr:blipFill>
      <xdr:spPr>
        <a:prstGeom prst="rect">
          <a:avLst/>
        </a:prstGeom>
        <a:noFill/>
      </xdr:spPr>
    </xdr:pic>
    <xdr:clientData fLocksWithSheet="0"/>
  </xdr:oneCellAnchor>
  <xdr:oneCellAnchor>
    <xdr:from>
      <xdr:col>3</xdr:col>
      <xdr:colOff>0</xdr:colOff>
      <xdr:row>28</xdr:row>
      <xdr:rowOff>0</xdr:rowOff>
    </xdr:from>
    <xdr:ext cx="2514600" cy="2085975"/>
    <xdr:pic>
      <xdr:nvPicPr>
        <xdr:cNvPr id="46" name="image59.png">
          <a:extLst>
            <a:ext uri="{FF2B5EF4-FFF2-40B4-BE49-F238E27FC236}">
              <a16:creationId xmlns:a16="http://schemas.microsoft.com/office/drawing/2014/main" id="{00000000-0008-0000-0200-00002E000000}"/>
            </a:ext>
          </a:extLst>
        </xdr:cNvPr>
        <xdr:cNvPicPr preferRelativeResize="0"/>
      </xdr:nvPicPr>
      <xdr:blipFill>
        <a:blip xmlns:r="http://schemas.openxmlformats.org/officeDocument/2006/relationships" r:embed="rId43" cstate="print"/>
        <a:stretch>
          <a:fillRect/>
        </a:stretch>
      </xdr:blipFill>
      <xdr:spPr>
        <a:prstGeom prst="rect">
          <a:avLst/>
        </a:prstGeom>
        <a:noFill/>
      </xdr:spPr>
    </xdr:pic>
    <xdr:clientData fLocksWithSheet="0"/>
  </xdr:oneCellAnchor>
  <xdr:oneCellAnchor>
    <xdr:from>
      <xdr:col>2</xdr:col>
      <xdr:colOff>0</xdr:colOff>
      <xdr:row>29</xdr:row>
      <xdr:rowOff>0</xdr:rowOff>
    </xdr:from>
    <xdr:ext cx="2228850" cy="2085975"/>
    <xdr:pic>
      <xdr:nvPicPr>
        <xdr:cNvPr id="47" name="image44.png">
          <a:extLst>
            <a:ext uri="{FF2B5EF4-FFF2-40B4-BE49-F238E27FC236}">
              <a16:creationId xmlns:a16="http://schemas.microsoft.com/office/drawing/2014/main" id="{00000000-0008-0000-0200-00002F000000}"/>
            </a:ext>
          </a:extLst>
        </xdr:cNvPr>
        <xdr:cNvPicPr preferRelativeResize="0"/>
      </xdr:nvPicPr>
      <xdr:blipFill>
        <a:blip xmlns:r="http://schemas.openxmlformats.org/officeDocument/2006/relationships" r:embed="rId44" cstate="print"/>
        <a:stretch>
          <a:fillRect/>
        </a:stretch>
      </xdr:blipFill>
      <xdr:spPr>
        <a:prstGeom prst="rect">
          <a:avLst/>
        </a:prstGeom>
        <a:noFill/>
      </xdr:spPr>
    </xdr:pic>
    <xdr:clientData fLocksWithSheet="0"/>
  </xdr:oneCellAnchor>
  <xdr:oneCellAnchor>
    <xdr:from>
      <xdr:col>3</xdr:col>
      <xdr:colOff>0</xdr:colOff>
      <xdr:row>29</xdr:row>
      <xdr:rowOff>0</xdr:rowOff>
    </xdr:from>
    <xdr:ext cx="2581275" cy="2085975"/>
    <xdr:pic>
      <xdr:nvPicPr>
        <xdr:cNvPr id="48" name="image43.png">
          <a:extLst>
            <a:ext uri="{FF2B5EF4-FFF2-40B4-BE49-F238E27FC236}">
              <a16:creationId xmlns:a16="http://schemas.microsoft.com/office/drawing/2014/main" id="{00000000-0008-0000-0200-000030000000}"/>
            </a:ext>
          </a:extLst>
        </xdr:cNvPr>
        <xdr:cNvPicPr preferRelativeResize="0"/>
      </xdr:nvPicPr>
      <xdr:blipFill>
        <a:blip xmlns:r="http://schemas.openxmlformats.org/officeDocument/2006/relationships" r:embed="rId45" cstate="print"/>
        <a:stretch>
          <a:fillRect/>
        </a:stretch>
      </xdr:blipFill>
      <xdr:spPr>
        <a:prstGeom prst="rect">
          <a:avLst/>
        </a:prstGeom>
        <a:noFill/>
      </xdr:spPr>
    </xdr:pic>
    <xdr:clientData fLocksWithSheet="0"/>
  </xdr:oneCellAnchor>
  <xdr:oneCellAnchor>
    <xdr:from>
      <xdr:col>2</xdr:col>
      <xdr:colOff>0</xdr:colOff>
      <xdr:row>30</xdr:row>
      <xdr:rowOff>0</xdr:rowOff>
    </xdr:from>
    <xdr:ext cx="1466850" cy="2085975"/>
    <xdr:pic>
      <xdr:nvPicPr>
        <xdr:cNvPr id="49" name="image37.png">
          <a:extLst>
            <a:ext uri="{FF2B5EF4-FFF2-40B4-BE49-F238E27FC236}">
              <a16:creationId xmlns:a16="http://schemas.microsoft.com/office/drawing/2014/main" id="{00000000-0008-0000-0200-000031000000}"/>
            </a:ext>
          </a:extLst>
        </xdr:cNvPr>
        <xdr:cNvPicPr preferRelativeResize="0"/>
      </xdr:nvPicPr>
      <xdr:blipFill>
        <a:blip xmlns:r="http://schemas.openxmlformats.org/officeDocument/2006/relationships" r:embed="rId46" cstate="print"/>
        <a:stretch>
          <a:fillRect/>
        </a:stretch>
      </xdr:blipFill>
      <xdr:spPr>
        <a:prstGeom prst="rect">
          <a:avLst/>
        </a:prstGeom>
        <a:noFill/>
      </xdr:spPr>
    </xdr:pic>
    <xdr:clientData fLocksWithSheet="0"/>
  </xdr:oneCellAnchor>
  <xdr:oneCellAnchor>
    <xdr:from>
      <xdr:col>2</xdr:col>
      <xdr:colOff>0</xdr:colOff>
      <xdr:row>31</xdr:row>
      <xdr:rowOff>0</xdr:rowOff>
    </xdr:from>
    <xdr:ext cx="2733675" cy="2085975"/>
    <xdr:pic>
      <xdr:nvPicPr>
        <xdr:cNvPr id="50" name="image51.png" title="Imagen">
          <a:extLst>
            <a:ext uri="{FF2B5EF4-FFF2-40B4-BE49-F238E27FC236}">
              <a16:creationId xmlns:a16="http://schemas.microsoft.com/office/drawing/2014/main" id="{00000000-0008-0000-0200-000032000000}"/>
            </a:ext>
          </a:extLst>
        </xdr:cNvPr>
        <xdr:cNvPicPr preferRelativeResize="0"/>
      </xdr:nvPicPr>
      <xdr:blipFill>
        <a:blip xmlns:r="http://schemas.openxmlformats.org/officeDocument/2006/relationships" r:embed="rId47" cstate="print"/>
        <a:stretch>
          <a:fillRect/>
        </a:stretch>
      </xdr:blipFill>
      <xdr:spPr>
        <a:prstGeom prst="rect">
          <a:avLst/>
        </a:prstGeom>
        <a:noFill/>
      </xdr:spPr>
    </xdr:pic>
    <xdr:clientData fLocksWithSheet="0"/>
  </xdr:oneCellAnchor>
  <xdr:oneCellAnchor>
    <xdr:from>
      <xdr:col>2</xdr:col>
      <xdr:colOff>0</xdr:colOff>
      <xdr:row>32</xdr:row>
      <xdr:rowOff>0</xdr:rowOff>
    </xdr:from>
    <xdr:ext cx="1162050" cy="2076450"/>
    <xdr:pic>
      <xdr:nvPicPr>
        <xdr:cNvPr id="51" name="image46.jpg">
          <a:extLst>
            <a:ext uri="{FF2B5EF4-FFF2-40B4-BE49-F238E27FC236}">
              <a16:creationId xmlns:a16="http://schemas.microsoft.com/office/drawing/2014/main" id="{00000000-0008-0000-0200-000033000000}"/>
            </a:ext>
          </a:extLst>
        </xdr:cNvPr>
        <xdr:cNvPicPr preferRelativeResize="0"/>
      </xdr:nvPicPr>
      <xdr:blipFill>
        <a:blip xmlns:r="http://schemas.openxmlformats.org/officeDocument/2006/relationships" r:embed="rId48" cstate="print"/>
        <a:stretch>
          <a:fillRect/>
        </a:stretch>
      </xdr:blipFill>
      <xdr:spPr>
        <a:prstGeom prst="rect">
          <a:avLst/>
        </a:prstGeom>
        <a:noFill/>
      </xdr:spPr>
    </xdr:pic>
    <xdr:clientData fLocksWithSheet="0"/>
  </xdr:oneCellAnchor>
  <xdr:oneCellAnchor>
    <xdr:from>
      <xdr:col>2</xdr:col>
      <xdr:colOff>0</xdr:colOff>
      <xdr:row>33</xdr:row>
      <xdr:rowOff>0</xdr:rowOff>
    </xdr:from>
    <xdr:ext cx="2543175" cy="2085975"/>
    <xdr:pic>
      <xdr:nvPicPr>
        <xdr:cNvPr id="52" name="image40.png">
          <a:extLst>
            <a:ext uri="{FF2B5EF4-FFF2-40B4-BE49-F238E27FC236}">
              <a16:creationId xmlns:a16="http://schemas.microsoft.com/office/drawing/2014/main" id="{00000000-0008-0000-0200-000034000000}"/>
            </a:ext>
          </a:extLst>
        </xdr:cNvPr>
        <xdr:cNvPicPr preferRelativeResize="0"/>
      </xdr:nvPicPr>
      <xdr:blipFill>
        <a:blip xmlns:r="http://schemas.openxmlformats.org/officeDocument/2006/relationships" r:embed="rId49" cstate="print"/>
        <a:stretch>
          <a:fillRect/>
        </a:stretch>
      </xdr:blipFill>
      <xdr:spPr>
        <a:prstGeom prst="rect">
          <a:avLst/>
        </a:prstGeom>
        <a:noFill/>
      </xdr:spPr>
    </xdr:pic>
    <xdr:clientData fLocksWithSheet="0"/>
  </xdr:oneCellAnchor>
  <xdr:oneCellAnchor>
    <xdr:from>
      <xdr:col>2</xdr:col>
      <xdr:colOff>0</xdr:colOff>
      <xdr:row>34</xdr:row>
      <xdr:rowOff>0</xdr:rowOff>
    </xdr:from>
    <xdr:ext cx="2066925" cy="2085975"/>
    <xdr:pic>
      <xdr:nvPicPr>
        <xdr:cNvPr id="53" name="image62.png">
          <a:extLst>
            <a:ext uri="{FF2B5EF4-FFF2-40B4-BE49-F238E27FC236}">
              <a16:creationId xmlns:a16="http://schemas.microsoft.com/office/drawing/2014/main" id="{00000000-0008-0000-0200-000035000000}"/>
            </a:ext>
          </a:extLst>
        </xdr:cNvPr>
        <xdr:cNvPicPr preferRelativeResize="0"/>
      </xdr:nvPicPr>
      <xdr:blipFill>
        <a:blip xmlns:r="http://schemas.openxmlformats.org/officeDocument/2006/relationships" r:embed="rId50" cstate="print"/>
        <a:stretch>
          <a:fillRect/>
        </a:stretch>
      </xdr:blipFill>
      <xdr:spPr>
        <a:prstGeom prst="rect">
          <a:avLst/>
        </a:prstGeom>
        <a:noFill/>
      </xdr:spPr>
    </xdr:pic>
    <xdr:clientData fLocksWithSheet="0"/>
  </xdr:oneCellAnchor>
  <xdr:oneCellAnchor>
    <xdr:from>
      <xdr:col>2</xdr:col>
      <xdr:colOff>0</xdr:colOff>
      <xdr:row>35</xdr:row>
      <xdr:rowOff>0</xdr:rowOff>
    </xdr:from>
    <xdr:ext cx="1657350" cy="2085975"/>
    <xdr:pic>
      <xdr:nvPicPr>
        <xdr:cNvPr id="54" name="image52.png">
          <a:extLst>
            <a:ext uri="{FF2B5EF4-FFF2-40B4-BE49-F238E27FC236}">
              <a16:creationId xmlns:a16="http://schemas.microsoft.com/office/drawing/2014/main" id="{00000000-0008-0000-0200-000036000000}"/>
            </a:ext>
          </a:extLst>
        </xdr:cNvPr>
        <xdr:cNvPicPr preferRelativeResize="0"/>
      </xdr:nvPicPr>
      <xdr:blipFill>
        <a:blip xmlns:r="http://schemas.openxmlformats.org/officeDocument/2006/relationships" r:embed="rId51" cstate="print"/>
        <a:stretch>
          <a:fillRect/>
        </a:stretch>
      </xdr:blipFill>
      <xdr:spPr>
        <a:prstGeom prst="rect">
          <a:avLst/>
        </a:prstGeom>
        <a:noFill/>
      </xdr:spPr>
    </xdr:pic>
    <xdr:clientData fLocksWithSheet="0"/>
  </xdr:oneCellAnchor>
  <xdr:oneCellAnchor>
    <xdr:from>
      <xdr:col>2</xdr:col>
      <xdr:colOff>0</xdr:colOff>
      <xdr:row>36</xdr:row>
      <xdr:rowOff>0</xdr:rowOff>
    </xdr:from>
    <xdr:ext cx="3171825" cy="2085975"/>
    <xdr:pic>
      <xdr:nvPicPr>
        <xdr:cNvPr id="55" name="image68.png">
          <a:extLst>
            <a:ext uri="{FF2B5EF4-FFF2-40B4-BE49-F238E27FC236}">
              <a16:creationId xmlns:a16="http://schemas.microsoft.com/office/drawing/2014/main" id="{00000000-0008-0000-0200-000037000000}"/>
            </a:ext>
          </a:extLst>
        </xdr:cNvPr>
        <xdr:cNvPicPr preferRelativeResize="0"/>
      </xdr:nvPicPr>
      <xdr:blipFill>
        <a:blip xmlns:r="http://schemas.openxmlformats.org/officeDocument/2006/relationships" r:embed="rId52" cstate="print"/>
        <a:stretch>
          <a:fillRect/>
        </a:stretch>
      </xdr:blipFill>
      <xdr:spPr>
        <a:prstGeom prst="rect">
          <a:avLst/>
        </a:prstGeom>
        <a:noFill/>
      </xdr:spPr>
    </xdr:pic>
    <xdr:clientData fLocksWithSheet="0"/>
  </xdr:oneCellAnchor>
  <xdr:oneCellAnchor>
    <xdr:from>
      <xdr:col>2</xdr:col>
      <xdr:colOff>0</xdr:colOff>
      <xdr:row>37</xdr:row>
      <xdr:rowOff>0</xdr:rowOff>
    </xdr:from>
    <xdr:ext cx="2876550" cy="2085975"/>
    <xdr:pic>
      <xdr:nvPicPr>
        <xdr:cNvPr id="56" name="image54.png">
          <a:extLst>
            <a:ext uri="{FF2B5EF4-FFF2-40B4-BE49-F238E27FC236}">
              <a16:creationId xmlns:a16="http://schemas.microsoft.com/office/drawing/2014/main" id="{00000000-0008-0000-0200-000038000000}"/>
            </a:ext>
          </a:extLst>
        </xdr:cNvPr>
        <xdr:cNvPicPr preferRelativeResize="0"/>
      </xdr:nvPicPr>
      <xdr:blipFill>
        <a:blip xmlns:r="http://schemas.openxmlformats.org/officeDocument/2006/relationships" r:embed="rId53" cstate="print"/>
        <a:stretch>
          <a:fillRect/>
        </a:stretch>
      </xdr:blipFill>
      <xdr:spPr>
        <a:prstGeom prst="rect">
          <a:avLst/>
        </a:prstGeom>
        <a:noFill/>
      </xdr:spPr>
    </xdr:pic>
    <xdr:clientData fLocksWithSheet="0"/>
  </xdr:oneCellAnchor>
  <xdr:oneCellAnchor>
    <xdr:from>
      <xdr:col>2</xdr:col>
      <xdr:colOff>0</xdr:colOff>
      <xdr:row>38</xdr:row>
      <xdr:rowOff>0</xdr:rowOff>
    </xdr:from>
    <xdr:ext cx="2457450" cy="2085975"/>
    <xdr:pic>
      <xdr:nvPicPr>
        <xdr:cNvPr id="57" name="image56.png">
          <a:extLst>
            <a:ext uri="{FF2B5EF4-FFF2-40B4-BE49-F238E27FC236}">
              <a16:creationId xmlns:a16="http://schemas.microsoft.com/office/drawing/2014/main" id="{00000000-0008-0000-0200-000039000000}"/>
            </a:ext>
          </a:extLst>
        </xdr:cNvPr>
        <xdr:cNvPicPr preferRelativeResize="0"/>
      </xdr:nvPicPr>
      <xdr:blipFill>
        <a:blip xmlns:r="http://schemas.openxmlformats.org/officeDocument/2006/relationships" r:embed="rId54" cstate="print"/>
        <a:stretch>
          <a:fillRect/>
        </a:stretch>
      </xdr:blipFill>
      <xdr:spPr>
        <a:prstGeom prst="rect">
          <a:avLst/>
        </a:prstGeom>
        <a:noFill/>
      </xdr:spPr>
    </xdr:pic>
    <xdr:clientData fLocksWithSheet="0"/>
  </xdr:oneCellAnchor>
  <xdr:oneCellAnchor>
    <xdr:from>
      <xdr:col>3</xdr:col>
      <xdr:colOff>0</xdr:colOff>
      <xdr:row>38</xdr:row>
      <xdr:rowOff>0</xdr:rowOff>
    </xdr:from>
    <xdr:ext cx="3048000" cy="2085975"/>
    <xdr:pic>
      <xdr:nvPicPr>
        <xdr:cNvPr id="58" name="image55.png">
          <a:extLst>
            <a:ext uri="{FF2B5EF4-FFF2-40B4-BE49-F238E27FC236}">
              <a16:creationId xmlns:a16="http://schemas.microsoft.com/office/drawing/2014/main" id="{00000000-0008-0000-0200-00003A000000}"/>
            </a:ext>
          </a:extLst>
        </xdr:cNvPr>
        <xdr:cNvPicPr preferRelativeResize="0"/>
      </xdr:nvPicPr>
      <xdr:blipFill>
        <a:blip xmlns:r="http://schemas.openxmlformats.org/officeDocument/2006/relationships" r:embed="rId55" cstate="print"/>
        <a:stretch>
          <a:fillRect/>
        </a:stretch>
      </xdr:blipFill>
      <xdr:spPr>
        <a:prstGeom prst="rect">
          <a:avLst/>
        </a:prstGeom>
        <a:noFill/>
      </xdr:spPr>
    </xdr:pic>
    <xdr:clientData fLocksWithSheet="0"/>
  </xdr:oneCellAnchor>
  <xdr:oneCellAnchor>
    <xdr:from>
      <xdr:col>2</xdr:col>
      <xdr:colOff>0</xdr:colOff>
      <xdr:row>39</xdr:row>
      <xdr:rowOff>0</xdr:rowOff>
    </xdr:from>
    <xdr:ext cx="3343275" cy="2085975"/>
    <xdr:pic>
      <xdr:nvPicPr>
        <xdr:cNvPr id="59" name="image58.png">
          <a:extLst>
            <a:ext uri="{FF2B5EF4-FFF2-40B4-BE49-F238E27FC236}">
              <a16:creationId xmlns:a16="http://schemas.microsoft.com/office/drawing/2014/main" id="{00000000-0008-0000-0200-00003B000000}"/>
            </a:ext>
          </a:extLst>
        </xdr:cNvPr>
        <xdr:cNvPicPr preferRelativeResize="0"/>
      </xdr:nvPicPr>
      <xdr:blipFill>
        <a:blip xmlns:r="http://schemas.openxmlformats.org/officeDocument/2006/relationships" r:embed="rId56" cstate="print"/>
        <a:stretch>
          <a:fillRect/>
        </a:stretch>
      </xdr:blipFill>
      <xdr:spPr>
        <a:prstGeom prst="rect">
          <a:avLst/>
        </a:prstGeom>
        <a:noFill/>
      </xdr:spPr>
    </xdr:pic>
    <xdr:clientData fLocksWithSheet="0"/>
  </xdr:oneCellAnchor>
  <xdr:oneCellAnchor>
    <xdr:from>
      <xdr:col>3</xdr:col>
      <xdr:colOff>0</xdr:colOff>
      <xdr:row>39</xdr:row>
      <xdr:rowOff>0</xdr:rowOff>
    </xdr:from>
    <xdr:ext cx="1238250" cy="2085975"/>
    <xdr:pic>
      <xdr:nvPicPr>
        <xdr:cNvPr id="60" name="image45.png">
          <a:extLst>
            <a:ext uri="{FF2B5EF4-FFF2-40B4-BE49-F238E27FC236}">
              <a16:creationId xmlns:a16="http://schemas.microsoft.com/office/drawing/2014/main" id="{00000000-0008-0000-0200-00003C000000}"/>
            </a:ext>
          </a:extLst>
        </xdr:cNvPr>
        <xdr:cNvPicPr preferRelativeResize="0"/>
      </xdr:nvPicPr>
      <xdr:blipFill>
        <a:blip xmlns:r="http://schemas.openxmlformats.org/officeDocument/2006/relationships" r:embed="rId57" cstate="print"/>
        <a:stretch>
          <a:fillRect/>
        </a:stretch>
      </xdr:blipFill>
      <xdr:spPr>
        <a:prstGeom prst="rect">
          <a:avLst/>
        </a:prstGeom>
        <a:noFill/>
      </xdr:spPr>
    </xdr:pic>
    <xdr:clientData fLocksWithSheet="0"/>
  </xdr:oneCellAnchor>
  <xdr:oneCellAnchor>
    <xdr:from>
      <xdr:col>2</xdr:col>
      <xdr:colOff>0</xdr:colOff>
      <xdr:row>40</xdr:row>
      <xdr:rowOff>0</xdr:rowOff>
    </xdr:from>
    <xdr:ext cx="2190750" cy="2085975"/>
    <xdr:pic>
      <xdr:nvPicPr>
        <xdr:cNvPr id="61" name="image49.png">
          <a:extLst>
            <a:ext uri="{FF2B5EF4-FFF2-40B4-BE49-F238E27FC236}">
              <a16:creationId xmlns:a16="http://schemas.microsoft.com/office/drawing/2014/main" id="{00000000-0008-0000-0200-00003D000000}"/>
            </a:ext>
          </a:extLst>
        </xdr:cNvPr>
        <xdr:cNvPicPr preferRelativeResize="0"/>
      </xdr:nvPicPr>
      <xdr:blipFill>
        <a:blip xmlns:r="http://schemas.openxmlformats.org/officeDocument/2006/relationships" r:embed="rId58" cstate="print"/>
        <a:stretch>
          <a:fillRect/>
        </a:stretch>
      </xdr:blipFill>
      <xdr:spPr>
        <a:prstGeom prst="rect">
          <a:avLst/>
        </a:prstGeom>
        <a:noFill/>
      </xdr:spPr>
    </xdr:pic>
    <xdr:clientData fLocksWithSheet="0"/>
  </xdr:oneCellAnchor>
  <xdr:oneCellAnchor>
    <xdr:from>
      <xdr:col>3</xdr:col>
      <xdr:colOff>0</xdr:colOff>
      <xdr:row>40</xdr:row>
      <xdr:rowOff>0</xdr:rowOff>
    </xdr:from>
    <xdr:ext cx="3152775" cy="1247775"/>
    <xdr:pic>
      <xdr:nvPicPr>
        <xdr:cNvPr id="62" name="image65.jpg">
          <a:extLst>
            <a:ext uri="{FF2B5EF4-FFF2-40B4-BE49-F238E27FC236}">
              <a16:creationId xmlns:a16="http://schemas.microsoft.com/office/drawing/2014/main" id="{00000000-0008-0000-0200-00003E000000}"/>
            </a:ext>
          </a:extLst>
        </xdr:cNvPr>
        <xdr:cNvPicPr preferRelativeResize="0"/>
      </xdr:nvPicPr>
      <xdr:blipFill>
        <a:blip xmlns:r="http://schemas.openxmlformats.org/officeDocument/2006/relationships" r:embed="rId59" cstate="print"/>
        <a:stretch>
          <a:fillRect/>
        </a:stretch>
      </xdr:blipFill>
      <xdr:spPr>
        <a:prstGeom prst="rect">
          <a:avLst/>
        </a:prstGeom>
        <a:noFill/>
      </xdr:spPr>
    </xdr:pic>
    <xdr:clientData fLocksWithSheet="0"/>
  </xdr:oneCellAnchor>
  <xdr:oneCellAnchor>
    <xdr:from>
      <xdr:col>2</xdr:col>
      <xdr:colOff>0</xdr:colOff>
      <xdr:row>41</xdr:row>
      <xdr:rowOff>0</xdr:rowOff>
    </xdr:from>
    <xdr:ext cx="2390775" cy="2085975"/>
    <xdr:pic>
      <xdr:nvPicPr>
        <xdr:cNvPr id="63" name="image53.png">
          <a:extLst>
            <a:ext uri="{FF2B5EF4-FFF2-40B4-BE49-F238E27FC236}">
              <a16:creationId xmlns:a16="http://schemas.microsoft.com/office/drawing/2014/main" id="{00000000-0008-0000-0200-00003F000000}"/>
            </a:ext>
          </a:extLst>
        </xdr:cNvPr>
        <xdr:cNvPicPr preferRelativeResize="0"/>
      </xdr:nvPicPr>
      <xdr:blipFill>
        <a:blip xmlns:r="http://schemas.openxmlformats.org/officeDocument/2006/relationships" r:embed="rId60" cstate="print"/>
        <a:stretch>
          <a:fillRect/>
        </a:stretch>
      </xdr:blipFill>
      <xdr:spPr>
        <a:prstGeom prst="rect">
          <a:avLst/>
        </a:prstGeom>
        <a:noFill/>
      </xdr:spPr>
    </xdr:pic>
    <xdr:clientData fLocksWithSheet="0"/>
  </xdr:oneCellAnchor>
  <xdr:oneCellAnchor>
    <xdr:from>
      <xdr:col>3</xdr:col>
      <xdr:colOff>0</xdr:colOff>
      <xdr:row>41</xdr:row>
      <xdr:rowOff>0</xdr:rowOff>
    </xdr:from>
    <xdr:ext cx="3105150" cy="2085975"/>
    <xdr:pic>
      <xdr:nvPicPr>
        <xdr:cNvPr id="64" name="image81.png" title="Imagen">
          <a:extLst>
            <a:ext uri="{FF2B5EF4-FFF2-40B4-BE49-F238E27FC236}">
              <a16:creationId xmlns:a16="http://schemas.microsoft.com/office/drawing/2014/main" id="{00000000-0008-0000-0200-000040000000}"/>
            </a:ext>
          </a:extLst>
        </xdr:cNvPr>
        <xdr:cNvPicPr preferRelativeResize="0"/>
      </xdr:nvPicPr>
      <xdr:blipFill>
        <a:blip xmlns:r="http://schemas.openxmlformats.org/officeDocument/2006/relationships" r:embed="rId61" cstate="print"/>
        <a:stretch>
          <a:fillRect/>
        </a:stretch>
      </xdr:blipFill>
      <xdr:spPr>
        <a:prstGeom prst="rect">
          <a:avLst/>
        </a:prstGeom>
        <a:noFill/>
      </xdr:spPr>
    </xdr:pic>
    <xdr:clientData fLocksWithSheet="0"/>
  </xdr:oneCellAnchor>
  <xdr:oneCellAnchor>
    <xdr:from>
      <xdr:col>2</xdr:col>
      <xdr:colOff>0</xdr:colOff>
      <xdr:row>42</xdr:row>
      <xdr:rowOff>0</xdr:rowOff>
    </xdr:from>
    <xdr:ext cx="2324100" cy="2076450"/>
    <xdr:pic>
      <xdr:nvPicPr>
        <xdr:cNvPr id="65" name="image50.png">
          <a:extLst>
            <a:ext uri="{FF2B5EF4-FFF2-40B4-BE49-F238E27FC236}">
              <a16:creationId xmlns:a16="http://schemas.microsoft.com/office/drawing/2014/main" id="{00000000-0008-0000-0200-000041000000}"/>
            </a:ext>
          </a:extLst>
        </xdr:cNvPr>
        <xdr:cNvPicPr preferRelativeResize="0"/>
      </xdr:nvPicPr>
      <xdr:blipFill>
        <a:blip xmlns:r="http://schemas.openxmlformats.org/officeDocument/2006/relationships" r:embed="rId62" cstate="print"/>
        <a:stretch>
          <a:fillRect/>
        </a:stretch>
      </xdr:blipFill>
      <xdr:spPr>
        <a:prstGeom prst="rect">
          <a:avLst/>
        </a:prstGeom>
        <a:noFill/>
      </xdr:spPr>
    </xdr:pic>
    <xdr:clientData fLocksWithSheet="0"/>
  </xdr:oneCellAnchor>
  <xdr:oneCellAnchor>
    <xdr:from>
      <xdr:col>3</xdr:col>
      <xdr:colOff>0</xdr:colOff>
      <xdr:row>42</xdr:row>
      <xdr:rowOff>0</xdr:rowOff>
    </xdr:from>
    <xdr:ext cx="2143125" cy="2085975"/>
    <xdr:pic>
      <xdr:nvPicPr>
        <xdr:cNvPr id="66" name="image64.png">
          <a:extLst>
            <a:ext uri="{FF2B5EF4-FFF2-40B4-BE49-F238E27FC236}">
              <a16:creationId xmlns:a16="http://schemas.microsoft.com/office/drawing/2014/main" id="{00000000-0008-0000-0200-000042000000}"/>
            </a:ext>
          </a:extLst>
        </xdr:cNvPr>
        <xdr:cNvPicPr preferRelativeResize="0"/>
      </xdr:nvPicPr>
      <xdr:blipFill>
        <a:blip xmlns:r="http://schemas.openxmlformats.org/officeDocument/2006/relationships" r:embed="rId63" cstate="print"/>
        <a:stretch>
          <a:fillRect/>
        </a:stretch>
      </xdr:blipFill>
      <xdr:spPr>
        <a:prstGeom prst="rect">
          <a:avLst/>
        </a:prstGeom>
        <a:noFill/>
      </xdr:spPr>
    </xdr:pic>
    <xdr:clientData fLocksWithSheet="0"/>
  </xdr:oneCellAnchor>
  <xdr:oneCellAnchor>
    <xdr:from>
      <xdr:col>2</xdr:col>
      <xdr:colOff>0</xdr:colOff>
      <xdr:row>43</xdr:row>
      <xdr:rowOff>0</xdr:rowOff>
    </xdr:from>
    <xdr:ext cx="2171700" cy="2085975"/>
    <xdr:pic>
      <xdr:nvPicPr>
        <xdr:cNvPr id="67" name="image60.png">
          <a:extLst>
            <a:ext uri="{FF2B5EF4-FFF2-40B4-BE49-F238E27FC236}">
              <a16:creationId xmlns:a16="http://schemas.microsoft.com/office/drawing/2014/main" id="{00000000-0008-0000-0200-000043000000}"/>
            </a:ext>
          </a:extLst>
        </xdr:cNvPr>
        <xdr:cNvPicPr preferRelativeResize="0"/>
      </xdr:nvPicPr>
      <xdr:blipFill>
        <a:blip xmlns:r="http://schemas.openxmlformats.org/officeDocument/2006/relationships" r:embed="rId64" cstate="print"/>
        <a:stretch>
          <a:fillRect/>
        </a:stretch>
      </xdr:blipFill>
      <xdr:spPr>
        <a:prstGeom prst="rect">
          <a:avLst/>
        </a:prstGeom>
        <a:noFill/>
      </xdr:spPr>
    </xdr:pic>
    <xdr:clientData fLocksWithSheet="0"/>
  </xdr:oneCellAnchor>
  <xdr:oneCellAnchor>
    <xdr:from>
      <xdr:col>3</xdr:col>
      <xdr:colOff>0</xdr:colOff>
      <xdr:row>43</xdr:row>
      <xdr:rowOff>0</xdr:rowOff>
    </xdr:from>
    <xdr:ext cx="3152775" cy="1933575"/>
    <xdr:pic>
      <xdr:nvPicPr>
        <xdr:cNvPr id="68" name="image57.png">
          <a:extLst>
            <a:ext uri="{FF2B5EF4-FFF2-40B4-BE49-F238E27FC236}">
              <a16:creationId xmlns:a16="http://schemas.microsoft.com/office/drawing/2014/main" id="{00000000-0008-0000-0200-000044000000}"/>
            </a:ext>
          </a:extLst>
        </xdr:cNvPr>
        <xdr:cNvPicPr preferRelativeResize="0"/>
      </xdr:nvPicPr>
      <xdr:blipFill>
        <a:blip xmlns:r="http://schemas.openxmlformats.org/officeDocument/2006/relationships" r:embed="rId65" cstate="print"/>
        <a:stretch>
          <a:fillRect/>
        </a:stretch>
      </xdr:blipFill>
      <xdr:spPr>
        <a:prstGeom prst="rect">
          <a:avLst/>
        </a:prstGeom>
        <a:noFill/>
      </xdr:spPr>
    </xdr:pic>
    <xdr:clientData fLocksWithSheet="0"/>
  </xdr:oneCellAnchor>
  <xdr:oneCellAnchor>
    <xdr:from>
      <xdr:col>2</xdr:col>
      <xdr:colOff>0</xdr:colOff>
      <xdr:row>44</xdr:row>
      <xdr:rowOff>0</xdr:rowOff>
    </xdr:from>
    <xdr:ext cx="2114550" cy="2076450"/>
    <xdr:pic>
      <xdr:nvPicPr>
        <xdr:cNvPr id="69" name="image78.png">
          <a:extLst>
            <a:ext uri="{FF2B5EF4-FFF2-40B4-BE49-F238E27FC236}">
              <a16:creationId xmlns:a16="http://schemas.microsoft.com/office/drawing/2014/main" id="{00000000-0008-0000-0200-000045000000}"/>
            </a:ext>
          </a:extLst>
        </xdr:cNvPr>
        <xdr:cNvPicPr preferRelativeResize="0"/>
      </xdr:nvPicPr>
      <xdr:blipFill>
        <a:blip xmlns:r="http://schemas.openxmlformats.org/officeDocument/2006/relationships" r:embed="rId66" cstate="print"/>
        <a:stretch>
          <a:fillRect/>
        </a:stretch>
      </xdr:blipFill>
      <xdr:spPr>
        <a:prstGeom prst="rect">
          <a:avLst/>
        </a:prstGeom>
        <a:noFill/>
      </xdr:spPr>
    </xdr:pic>
    <xdr:clientData fLocksWithSheet="0"/>
  </xdr:oneCellAnchor>
  <xdr:oneCellAnchor>
    <xdr:from>
      <xdr:col>3</xdr:col>
      <xdr:colOff>0</xdr:colOff>
      <xdr:row>44</xdr:row>
      <xdr:rowOff>0</xdr:rowOff>
    </xdr:from>
    <xdr:ext cx="1171575" cy="2085975"/>
    <xdr:pic>
      <xdr:nvPicPr>
        <xdr:cNvPr id="70" name="image61.jpg">
          <a:extLst>
            <a:ext uri="{FF2B5EF4-FFF2-40B4-BE49-F238E27FC236}">
              <a16:creationId xmlns:a16="http://schemas.microsoft.com/office/drawing/2014/main" id="{00000000-0008-0000-0200-000046000000}"/>
            </a:ext>
          </a:extLst>
        </xdr:cNvPr>
        <xdr:cNvPicPr preferRelativeResize="0"/>
      </xdr:nvPicPr>
      <xdr:blipFill>
        <a:blip xmlns:r="http://schemas.openxmlformats.org/officeDocument/2006/relationships" r:embed="rId67" cstate="print"/>
        <a:stretch>
          <a:fillRect/>
        </a:stretch>
      </xdr:blipFill>
      <xdr:spPr>
        <a:prstGeom prst="rect">
          <a:avLst/>
        </a:prstGeom>
        <a:noFill/>
      </xdr:spPr>
    </xdr:pic>
    <xdr:clientData fLocksWithSheet="0"/>
  </xdr:oneCellAnchor>
  <xdr:oneCellAnchor>
    <xdr:from>
      <xdr:col>2</xdr:col>
      <xdr:colOff>0</xdr:colOff>
      <xdr:row>45</xdr:row>
      <xdr:rowOff>0</xdr:rowOff>
    </xdr:from>
    <xdr:ext cx="2781300" cy="2085975"/>
    <xdr:pic>
      <xdr:nvPicPr>
        <xdr:cNvPr id="71" name="image71.png">
          <a:extLst>
            <a:ext uri="{FF2B5EF4-FFF2-40B4-BE49-F238E27FC236}">
              <a16:creationId xmlns:a16="http://schemas.microsoft.com/office/drawing/2014/main" id="{00000000-0008-0000-0200-000047000000}"/>
            </a:ext>
          </a:extLst>
        </xdr:cNvPr>
        <xdr:cNvPicPr preferRelativeResize="0"/>
      </xdr:nvPicPr>
      <xdr:blipFill>
        <a:blip xmlns:r="http://schemas.openxmlformats.org/officeDocument/2006/relationships" r:embed="rId68" cstate="print"/>
        <a:stretch>
          <a:fillRect/>
        </a:stretch>
      </xdr:blipFill>
      <xdr:spPr>
        <a:prstGeom prst="rect">
          <a:avLst/>
        </a:prstGeom>
        <a:noFill/>
      </xdr:spPr>
    </xdr:pic>
    <xdr:clientData fLocksWithSheet="0"/>
  </xdr:oneCellAnchor>
  <xdr:oneCellAnchor>
    <xdr:from>
      <xdr:col>3</xdr:col>
      <xdr:colOff>0</xdr:colOff>
      <xdr:row>45</xdr:row>
      <xdr:rowOff>0</xdr:rowOff>
    </xdr:from>
    <xdr:ext cx="1866900" cy="2085975"/>
    <xdr:pic>
      <xdr:nvPicPr>
        <xdr:cNvPr id="72" name="image83.png">
          <a:extLst>
            <a:ext uri="{FF2B5EF4-FFF2-40B4-BE49-F238E27FC236}">
              <a16:creationId xmlns:a16="http://schemas.microsoft.com/office/drawing/2014/main" id="{00000000-0008-0000-0200-000048000000}"/>
            </a:ext>
          </a:extLst>
        </xdr:cNvPr>
        <xdr:cNvPicPr preferRelativeResize="0"/>
      </xdr:nvPicPr>
      <xdr:blipFill>
        <a:blip xmlns:r="http://schemas.openxmlformats.org/officeDocument/2006/relationships" r:embed="rId69" cstate="print"/>
        <a:stretch>
          <a:fillRect/>
        </a:stretch>
      </xdr:blipFill>
      <xdr:spPr>
        <a:prstGeom prst="rect">
          <a:avLst/>
        </a:prstGeom>
        <a:noFill/>
      </xdr:spPr>
    </xdr:pic>
    <xdr:clientData fLocksWithSheet="0"/>
  </xdr:oneCellAnchor>
  <xdr:oneCellAnchor>
    <xdr:from>
      <xdr:col>2</xdr:col>
      <xdr:colOff>0</xdr:colOff>
      <xdr:row>46</xdr:row>
      <xdr:rowOff>0</xdr:rowOff>
    </xdr:from>
    <xdr:ext cx="2238375" cy="2085975"/>
    <xdr:pic>
      <xdr:nvPicPr>
        <xdr:cNvPr id="73" name="image69.png">
          <a:extLst>
            <a:ext uri="{FF2B5EF4-FFF2-40B4-BE49-F238E27FC236}">
              <a16:creationId xmlns:a16="http://schemas.microsoft.com/office/drawing/2014/main" id="{00000000-0008-0000-0200-000049000000}"/>
            </a:ext>
          </a:extLst>
        </xdr:cNvPr>
        <xdr:cNvPicPr preferRelativeResize="0"/>
      </xdr:nvPicPr>
      <xdr:blipFill>
        <a:blip xmlns:r="http://schemas.openxmlformats.org/officeDocument/2006/relationships" r:embed="rId70" cstate="print"/>
        <a:stretch>
          <a:fillRect/>
        </a:stretch>
      </xdr:blipFill>
      <xdr:spPr>
        <a:prstGeom prst="rect">
          <a:avLst/>
        </a:prstGeom>
        <a:noFill/>
      </xdr:spPr>
    </xdr:pic>
    <xdr:clientData fLocksWithSheet="0"/>
  </xdr:oneCellAnchor>
  <xdr:oneCellAnchor>
    <xdr:from>
      <xdr:col>3</xdr:col>
      <xdr:colOff>0</xdr:colOff>
      <xdr:row>46</xdr:row>
      <xdr:rowOff>0</xdr:rowOff>
    </xdr:from>
    <xdr:ext cx="1743075" cy="2085975"/>
    <xdr:pic>
      <xdr:nvPicPr>
        <xdr:cNvPr id="74" name="image75.png" title="Imagen">
          <a:extLst>
            <a:ext uri="{FF2B5EF4-FFF2-40B4-BE49-F238E27FC236}">
              <a16:creationId xmlns:a16="http://schemas.microsoft.com/office/drawing/2014/main" id="{00000000-0008-0000-0200-00004A000000}"/>
            </a:ext>
          </a:extLst>
        </xdr:cNvPr>
        <xdr:cNvPicPr preferRelativeResize="0"/>
      </xdr:nvPicPr>
      <xdr:blipFill>
        <a:blip xmlns:r="http://schemas.openxmlformats.org/officeDocument/2006/relationships" r:embed="rId71" cstate="print"/>
        <a:stretch>
          <a:fillRect/>
        </a:stretch>
      </xdr:blipFill>
      <xdr:spPr>
        <a:prstGeom prst="rect">
          <a:avLst/>
        </a:prstGeom>
        <a:noFill/>
      </xdr:spPr>
    </xdr:pic>
    <xdr:clientData fLocksWithSheet="0"/>
  </xdr:oneCellAnchor>
  <xdr:oneCellAnchor>
    <xdr:from>
      <xdr:col>2</xdr:col>
      <xdr:colOff>0</xdr:colOff>
      <xdr:row>47</xdr:row>
      <xdr:rowOff>0</xdr:rowOff>
    </xdr:from>
    <xdr:ext cx="1724025" cy="2085975"/>
    <xdr:pic>
      <xdr:nvPicPr>
        <xdr:cNvPr id="75" name="image66.png">
          <a:extLst>
            <a:ext uri="{FF2B5EF4-FFF2-40B4-BE49-F238E27FC236}">
              <a16:creationId xmlns:a16="http://schemas.microsoft.com/office/drawing/2014/main" id="{00000000-0008-0000-0200-00004B000000}"/>
            </a:ext>
          </a:extLst>
        </xdr:cNvPr>
        <xdr:cNvPicPr preferRelativeResize="0"/>
      </xdr:nvPicPr>
      <xdr:blipFill>
        <a:blip xmlns:r="http://schemas.openxmlformats.org/officeDocument/2006/relationships" r:embed="rId72" cstate="print"/>
        <a:stretch>
          <a:fillRect/>
        </a:stretch>
      </xdr:blipFill>
      <xdr:spPr>
        <a:prstGeom prst="rect">
          <a:avLst/>
        </a:prstGeom>
        <a:noFill/>
      </xdr:spPr>
    </xdr:pic>
    <xdr:clientData fLocksWithSheet="0"/>
  </xdr:oneCellAnchor>
  <xdr:oneCellAnchor>
    <xdr:from>
      <xdr:col>3</xdr:col>
      <xdr:colOff>0</xdr:colOff>
      <xdr:row>47</xdr:row>
      <xdr:rowOff>0</xdr:rowOff>
    </xdr:from>
    <xdr:ext cx="2305050" cy="2085975"/>
    <xdr:pic>
      <xdr:nvPicPr>
        <xdr:cNvPr id="76" name="image63.png">
          <a:extLst>
            <a:ext uri="{FF2B5EF4-FFF2-40B4-BE49-F238E27FC236}">
              <a16:creationId xmlns:a16="http://schemas.microsoft.com/office/drawing/2014/main" id="{00000000-0008-0000-0200-00004C000000}"/>
            </a:ext>
          </a:extLst>
        </xdr:cNvPr>
        <xdr:cNvPicPr preferRelativeResize="0"/>
      </xdr:nvPicPr>
      <xdr:blipFill>
        <a:blip xmlns:r="http://schemas.openxmlformats.org/officeDocument/2006/relationships" r:embed="rId73" cstate="print"/>
        <a:stretch>
          <a:fillRect/>
        </a:stretch>
      </xdr:blipFill>
      <xdr:spPr>
        <a:prstGeom prst="rect">
          <a:avLst/>
        </a:prstGeom>
        <a:noFill/>
      </xdr:spPr>
    </xdr:pic>
    <xdr:clientData fLocksWithSheet="0"/>
  </xdr:oneCellAnchor>
  <xdr:oneCellAnchor>
    <xdr:from>
      <xdr:col>2</xdr:col>
      <xdr:colOff>0</xdr:colOff>
      <xdr:row>49</xdr:row>
      <xdr:rowOff>0</xdr:rowOff>
    </xdr:from>
    <xdr:ext cx="2247900" cy="2085975"/>
    <xdr:pic>
      <xdr:nvPicPr>
        <xdr:cNvPr id="77" name="image74.png">
          <a:extLst>
            <a:ext uri="{FF2B5EF4-FFF2-40B4-BE49-F238E27FC236}">
              <a16:creationId xmlns:a16="http://schemas.microsoft.com/office/drawing/2014/main" id="{00000000-0008-0000-0200-00004D000000}"/>
            </a:ext>
          </a:extLst>
        </xdr:cNvPr>
        <xdr:cNvPicPr preferRelativeResize="0"/>
      </xdr:nvPicPr>
      <xdr:blipFill>
        <a:blip xmlns:r="http://schemas.openxmlformats.org/officeDocument/2006/relationships" r:embed="rId74" cstate="print"/>
        <a:stretch>
          <a:fillRect/>
        </a:stretch>
      </xdr:blipFill>
      <xdr:spPr>
        <a:prstGeom prst="rect">
          <a:avLst/>
        </a:prstGeom>
        <a:noFill/>
      </xdr:spPr>
    </xdr:pic>
    <xdr:clientData fLocksWithSheet="0"/>
  </xdr:oneCellAnchor>
  <xdr:oneCellAnchor>
    <xdr:from>
      <xdr:col>3</xdr:col>
      <xdr:colOff>0</xdr:colOff>
      <xdr:row>49</xdr:row>
      <xdr:rowOff>0</xdr:rowOff>
    </xdr:from>
    <xdr:ext cx="2314575" cy="2085975"/>
    <xdr:pic>
      <xdr:nvPicPr>
        <xdr:cNvPr id="78" name="image70.png">
          <a:extLst>
            <a:ext uri="{FF2B5EF4-FFF2-40B4-BE49-F238E27FC236}">
              <a16:creationId xmlns:a16="http://schemas.microsoft.com/office/drawing/2014/main" id="{00000000-0008-0000-0200-00004E000000}"/>
            </a:ext>
          </a:extLst>
        </xdr:cNvPr>
        <xdr:cNvPicPr preferRelativeResize="0"/>
      </xdr:nvPicPr>
      <xdr:blipFill>
        <a:blip xmlns:r="http://schemas.openxmlformats.org/officeDocument/2006/relationships" r:embed="rId75" cstate="print"/>
        <a:stretch>
          <a:fillRect/>
        </a:stretch>
      </xdr:blipFill>
      <xdr:spPr>
        <a:prstGeom prst="rect">
          <a:avLst/>
        </a:prstGeom>
        <a:noFill/>
      </xdr:spPr>
    </xdr:pic>
    <xdr:clientData fLocksWithSheet="0"/>
  </xdr:oneCellAnchor>
  <xdr:oneCellAnchor>
    <xdr:from>
      <xdr:col>2</xdr:col>
      <xdr:colOff>0</xdr:colOff>
      <xdr:row>50</xdr:row>
      <xdr:rowOff>0</xdr:rowOff>
    </xdr:from>
    <xdr:ext cx="2066925" cy="2085975"/>
    <xdr:pic>
      <xdr:nvPicPr>
        <xdr:cNvPr id="79" name="image93.png">
          <a:extLst>
            <a:ext uri="{FF2B5EF4-FFF2-40B4-BE49-F238E27FC236}">
              <a16:creationId xmlns:a16="http://schemas.microsoft.com/office/drawing/2014/main" id="{00000000-0008-0000-0200-00004F000000}"/>
            </a:ext>
          </a:extLst>
        </xdr:cNvPr>
        <xdr:cNvPicPr preferRelativeResize="0"/>
      </xdr:nvPicPr>
      <xdr:blipFill>
        <a:blip xmlns:r="http://schemas.openxmlformats.org/officeDocument/2006/relationships" r:embed="rId76" cstate="print"/>
        <a:stretch>
          <a:fillRect/>
        </a:stretch>
      </xdr:blipFill>
      <xdr:spPr>
        <a:prstGeom prst="rect">
          <a:avLst/>
        </a:prstGeom>
        <a:noFill/>
      </xdr:spPr>
    </xdr:pic>
    <xdr:clientData fLocksWithSheet="0"/>
  </xdr:oneCellAnchor>
  <xdr:oneCellAnchor>
    <xdr:from>
      <xdr:col>3</xdr:col>
      <xdr:colOff>0</xdr:colOff>
      <xdr:row>50</xdr:row>
      <xdr:rowOff>0</xdr:rowOff>
    </xdr:from>
    <xdr:ext cx="2533650" cy="2085975"/>
    <xdr:pic>
      <xdr:nvPicPr>
        <xdr:cNvPr id="80" name="image67.png" title="Imagen">
          <a:extLst>
            <a:ext uri="{FF2B5EF4-FFF2-40B4-BE49-F238E27FC236}">
              <a16:creationId xmlns:a16="http://schemas.microsoft.com/office/drawing/2014/main" id="{00000000-0008-0000-0200-000050000000}"/>
            </a:ext>
          </a:extLst>
        </xdr:cNvPr>
        <xdr:cNvPicPr preferRelativeResize="0"/>
      </xdr:nvPicPr>
      <xdr:blipFill>
        <a:blip xmlns:r="http://schemas.openxmlformats.org/officeDocument/2006/relationships" r:embed="rId77" cstate="print"/>
        <a:stretch>
          <a:fillRect/>
        </a:stretch>
      </xdr:blipFill>
      <xdr:spPr>
        <a:prstGeom prst="rect">
          <a:avLst/>
        </a:prstGeom>
        <a:noFill/>
      </xdr:spPr>
    </xdr:pic>
    <xdr:clientData fLocksWithSheet="0"/>
  </xdr:oneCellAnchor>
  <xdr:oneCellAnchor>
    <xdr:from>
      <xdr:col>2</xdr:col>
      <xdr:colOff>0</xdr:colOff>
      <xdr:row>51</xdr:row>
      <xdr:rowOff>0</xdr:rowOff>
    </xdr:from>
    <xdr:ext cx="2333625" cy="2085975"/>
    <xdr:pic>
      <xdr:nvPicPr>
        <xdr:cNvPr id="81" name="image77.png">
          <a:extLst>
            <a:ext uri="{FF2B5EF4-FFF2-40B4-BE49-F238E27FC236}">
              <a16:creationId xmlns:a16="http://schemas.microsoft.com/office/drawing/2014/main" id="{00000000-0008-0000-0200-000051000000}"/>
            </a:ext>
          </a:extLst>
        </xdr:cNvPr>
        <xdr:cNvPicPr preferRelativeResize="0"/>
      </xdr:nvPicPr>
      <xdr:blipFill>
        <a:blip xmlns:r="http://schemas.openxmlformats.org/officeDocument/2006/relationships" r:embed="rId78" cstate="print"/>
        <a:stretch>
          <a:fillRect/>
        </a:stretch>
      </xdr:blipFill>
      <xdr:spPr>
        <a:prstGeom prst="rect">
          <a:avLst/>
        </a:prstGeom>
        <a:noFill/>
      </xdr:spPr>
    </xdr:pic>
    <xdr:clientData fLocksWithSheet="0"/>
  </xdr:oneCellAnchor>
  <xdr:oneCellAnchor>
    <xdr:from>
      <xdr:col>3</xdr:col>
      <xdr:colOff>0</xdr:colOff>
      <xdr:row>51</xdr:row>
      <xdr:rowOff>0</xdr:rowOff>
    </xdr:from>
    <xdr:ext cx="1438275" cy="2085975"/>
    <xdr:pic>
      <xdr:nvPicPr>
        <xdr:cNvPr id="82" name="image72.png" title="Imagen">
          <a:extLst>
            <a:ext uri="{FF2B5EF4-FFF2-40B4-BE49-F238E27FC236}">
              <a16:creationId xmlns:a16="http://schemas.microsoft.com/office/drawing/2014/main" id="{00000000-0008-0000-0200-000052000000}"/>
            </a:ext>
          </a:extLst>
        </xdr:cNvPr>
        <xdr:cNvPicPr preferRelativeResize="0"/>
      </xdr:nvPicPr>
      <xdr:blipFill>
        <a:blip xmlns:r="http://schemas.openxmlformats.org/officeDocument/2006/relationships" r:embed="rId79" cstate="print"/>
        <a:stretch>
          <a:fillRect/>
        </a:stretch>
      </xdr:blipFill>
      <xdr:spPr>
        <a:prstGeom prst="rect">
          <a:avLst/>
        </a:prstGeom>
        <a:noFill/>
      </xdr:spPr>
    </xdr:pic>
    <xdr:clientData fLocksWithSheet="0"/>
  </xdr:oneCellAnchor>
  <xdr:oneCellAnchor>
    <xdr:from>
      <xdr:col>2</xdr:col>
      <xdr:colOff>0</xdr:colOff>
      <xdr:row>52</xdr:row>
      <xdr:rowOff>0</xdr:rowOff>
    </xdr:from>
    <xdr:ext cx="2905125" cy="2085975"/>
    <xdr:pic>
      <xdr:nvPicPr>
        <xdr:cNvPr id="83" name="image86.png">
          <a:extLst>
            <a:ext uri="{FF2B5EF4-FFF2-40B4-BE49-F238E27FC236}">
              <a16:creationId xmlns:a16="http://schemas.microsoft.com/office/drawing/2014/main" id="{00000000-0008-0000-0200-000053000000}"/>
            </a:ext>
          </a:extLst>
        </xdr:cNvPr>
        <xdr:cNvPicPr preferRelativeResize="0"/>
      </xdr:nvPicPr>
      <xdr:blipFill>
        <a:blip xmlns:r="http://schemas.openxmlformats.org/officeDocument/2006/relationships" r:embed="rId80" cstate="print"/>
        <a:stretch>
          <a:fillRect/>
        </a:stretch>
      </xdr:blipFill>
      <xdr:spPr>
        <a:prstGeom prst="rect">
          <a:avLst/>
        </a:prstGeom>
        <a:noFill/>
      </xdr:spPr>
    </xdr:pic>
    <xdr:clientData fLocksWithSheet="0"/>
  </xdr:oneCellAnchor>
  <xdr:oneCellAnchor>
    <xdr:from>
      <xdr:col>3</xdr:col>
      <xdr:colOff>0</xdr:colOff>
      <xdr:row>52</xdr:row>
      <xdr:rowOff>0</xdr:rowOff>
    </xdr:from>
    <xdr:ext cx="2800350" cy="2085975"/>
    <xdr:pic>
      <xdr:nvPicPr>
        <xdr:cNvPr id="84" name="image73.png">
          <a:extLst>
            <a:ext uri="{FF2B5EF4-FFF2-40B4-BE49-F238E27FC236}">
              <a16:creationId xmlns:a16="http://schemas.microsoft.com/office/drawing/2014/main" id="{00000000-0008-0000-0200-000054000000}"/>
            </a:ext>
          </a:extLst>
        </xdr:cNvPr>
        <xdr:cNvPicPr preferRelativeResize="0"/>
      </xdr:nvPicPr>
      <xdr:blipFill>
        <a:blip xmlns:r="http://schemas.openxmlformats.org/officeDocument/2006/relationships" r:embed="rId81" cstate="print"/>
        <a:stretch>
          <a:fillRect/>
        </a:stretch>
      </xdr:blipFill>
      <xdr:spPr>
        <a:prstGeom prst="rect">
          <a:avLst/>
        </a:prstGeom>
        <a:noFill/>
      </xdr:spPr>
    </xdr:pic>
    <xdr:clientData fLocksWithSheet="0"/>
  </xdr:oneCellAnchor>
  <xdr:oneCellAnchor>
    <xdr:from>
      <xdr:col>2</xdr:col>
      <xdr:colOff>0</xdr:colOff>
      <xdr:row>53</xdr:row>
      <xdr:rowOff>0</xdr:rowOff>
    </xdr:from>
    <xdr:ext cx="2085975" cy="2085975"/>
    <xdr:pic>
      <xdr:nvPicPr>
        <xdr:cNvPr id="85" name="image103.png">
          <a:extLst>
            <a:ext uri="{FF2B5EF4-FFF2-40B4-BE49-F238E27FC236}">
              <a16:creationId xmlns:a16="http://schemas.microsoft.com/office/drawing/2014/main" id="{00000000-0008-0000-0200-000055000000}"/>
            </a:ext>
          </a:extLst>
        </xdr:cNvPr>
        <xdr:cNvPicPr preferRelativeResize="0"/>
      </xdr:nvPicPr>
      <xdr:blipFill>
        <a:blip xmlns:r="http://schemas.openxmlformats.org/officeDocument/2006/relationships" r:embed="rId82" cstate="print"/>
        <a:stretch>
          <a:fillRect/>
        </a:stretch>
      </xdr:blipFill>
      <xdr:spPr>
        <a:prstGeom prst="rect">
          <a:avLst/>
        </a:prstGeom>
        <a:noFill/>
      </xdr:spPr>
    </xdr:pic>
    <xdr:clientData fLocksWithSheet="0"/>
  </xdr:oneCellAnchor>
  <xdr:oneCellAnchor>
    <xdr:from>
      <xdr:col>3</xdr:col>
      <xdr:colOff>0</xdr:colOff>
      <xdr:row>53</xdr:row>
      <xdr:rowOff>0</xdr:rowOff>
    </xdr:from>
    <xdr:ext cx="3000375" cy="2085975"/>
    <xdr:pic>
      <xdr:nvPicPr>
        <xdr:cNvPr id="86" name="image79.png">
          <a:extLst>
            <a:ext uri="{FF2B5EF4-FFF2-40B4-BE49-F238E27FC236}">
              <a16:creationId xmlns:a16="http://schemas.microsoft.com/office/drawing/2014/main" id="{00000000-0008-0000-0200-000056000000}"/>
            </a:ext>
          </a:extLst>
        </xdr:cNvPr>
        <xdr:cNvPicPr preferRelativeResize="0"/>
      </xdr:nvPicPr>
      <xdr:blipFill>
        <a:blip xmlns:r="http://schemas.openxmlformats.org/officeDocument/2006/relationships" r:embed="rId83" cstate="print"/>
        <a:stretch>
          <a:fillRect/>
        </a:stretch>
      </xdr:blipFill>
      <xdr:spPr>
        <a:prstGeom prst="rect">
          <a:avLst/>
        </a:prstGeom>
        <a:noFill/>
      </xdr:spPr>
    </xdr:pic>
    <xdr:clientData fLocksWithSheet="0"/>
  </xdr:oneCellAnchor>
  <xdr:oneCellAnchor>
    <xdr:from>
      <xdr:col>2</xdr:col>
      <xdr:colOff>0</xdr:colOff>
      <xdr:row>54</xdr:row>
      <xdr:rowOff>0</xdr:rowOff>
    </xdr:from>
    <xdr:ext cx="2266950" cy="2085975"/>
    <xdr:pic>
      <xdr:nvPicPr>
        <xdr:cNvPr id="87" name="image82.png">
          <a:extLst>
            <a:ext uri="{FF2B5EF4-FFF2-40B4-BE49-F238E27FC236}">
              <a16:creationId xmlns:a16="http://schemas.microsoft.com/office/drawing/2014/main" id="{00000000-0008-0000-0200-000057000000}"/>
            </a:ext>
          </a:extLst>
        </xdr:cNvPr>
        <xdr:cNvPicPr preferRelativeResize="0"/>
      </xdr:nvPicPr>
      <xdr:blipFill>
        <a:blip xmlns:r="http://schemas.openxmlformats.org/officeDocument/2006/relationships" r:embed="rId84" cstate="print"/>
        <a:stretch>
          <a:fillRect/>
        </a:stretch>
      </xdr:blipFill>
      <xdr:spPr>
        <a:prstGeom prst="rect">
          <a:avLst/>
        </a:prstGeom>
        <a:noFill/>
      </xdr:spPr>
    </xdr:pic>
    <xdr:clientData fLocksWithSheet="0"/>
  </xdr:oneCellAnchor>
  <xdr:oneCellAnchor>
    <xdr:from>
      <xdr:col>3</xdr:col>
      <xdr:colOff>0</xdr:colOff>
      <xdr:row>54</xdr:row>
      <xdr:rowOff>0</xdr:rowOff>
    </xdr:from>
    <xdr:ext cx="2533650" cy="2085975"/>
    <xdr:pic>
      <xdr:nvPicPr>
        <xdr:cNvPr id="88" name="image76.png">
          <a:extLst>
            <a:ext uri="{FF2B5EF4-FFF2-40B4-BE49-F238E27FC236}">
              <a16:creationId xmlns:a16="http://schemas.microsoft.com/office/drawing/2014/main" id="{00000000-0008-0000-0200-000058000000}"/>
            </a:ext>
          </a:extLst>
        </xdr:cNvPr>
        <xdr:cNvPicPr preferRelativeResize="0"/>
      </xdr:nvPicPr>
      <xdr:blipFill>
        <a:blip xmlns:r="http://schemas.openxmlformats.org/officeDocument/2006/relationships" r:embed="rId85" cstate="print"/>
        <a:stretch>
          <a:fillRect/>
        </a:stretch>
      </xdr:blipFill>
      <xdr:spPr>
        <a:prstGeom prst="rect">
          <a:avLst/>
        </a:prstGeom>
        <a:noFill/>
      </xdr:spPr>
    </xdr:pic>
    <xdr:clientData fLocksWithSheet="0"/>
  </xdr:oneCellAnchor>
  <xdr:oneCellAnchor>
    <xdr:from>
      <xdr:col>2</xdr:col>
      <xdr:colOff>0</xdr:colOff>
      <xdr:row>55</xdr:row>
      <xdr:rowOff>0</xdr:rowOff>
    </xdr:from>
    <xdr:ext cx="2085975" cy="2085975"/>
    <xdr:pic>
      <xdr:nvPicPr>
        <xdr:cNvPr id="89" name="image88.png">
          <a:extLst>
            <a:ext uri="{FF2B5EF4-FFF2-40B4-BE49-F238E27FC236}">
              <a16:creationId xmlns:a16="http://schemas.microsoft.com/office/drawing/2014/main" id="{00000000-0008-0000-0200-000059000000}"/>
            </a:ext>
          </a:extLst>
        </xdr:cNvPr>
        <xdr:cNvPicPr preferRelativeResize="0"/>
      </xdr:nvPicPr>
      <xdr:blipFill>
        <a:blip xmlns:r="http://schemas.openxmlformats.org/officeDocument/2006/relationships" r:embed="rId86" cstate="print"/>
        <a:stretch>
          <a:fillRect/>
        </a:stretch>
      </xdr:blipFill>
      <xdr:spPr>
        <a:prstGeom prst="rect">
          <a:avLst/>
        </a:prstGeom>
        <a:noFill/>
      </xdr:spPr>
    </xdr:pic>
    <xdr:clientData fLocksWithSheet="0"/>
  </xdr:oneCellAnchor>
  <xdr:oneCellAnchor>
    <xdr:from>
      <xdr:col>3</xdr:col>
      <xdr:colOff>0</xdr:colOff>
      <xdr:row>55</xdr:row>
      <xdr:rowOff>0</xdr:rowOff>
    </xdr:from>
    <xdr:ext cx="2085975" cy="2085975"/>
    <xdr:pic>
      <xdr:nvPicPr>
        <xdr:cNvPr id="90" name="image106.png">
          <a:extLst>
            <a:ext uri="{FF2B5EF4-FFF2-40B4-BE49-F238E27FC236}">
              <a16:creationId xmlns:a16="http://schemas.microsoft.com/office/drawing/2014/main" id="{00000000-0008-0000-0200-00005A000000}"/>
            </a:ext>
          </a:extLst>
        </xdr:cNvPr>
        <xdr:cNvPicPr preferRelativeResize="0"/>
      </xdr:nvPicPr>
      <xdr:blipFill>
        <a:blip xmlns:r="http://schemas.openxmlformats.org/officeDocument/2006/relationships" r:embed="rId87" cstate="print"/>
        <a:stretch>
          <a:fillRect/>
        </a:stretch>
      </xdr:blipFill>
      <xdr:spPr>
        <a:prstGeom prst="rect">
          <a:avLst/>
        </a:prstGeom>
        <a:noFill/>
      </xdr:spPr>
    </xdr:pic>
    <xdr:clientData fLocksWithSheet="0"/>
  </xdr:oneCellAnchor>
  <xdr:oneCellAnchor>
    <xdr:from>
      <xdr:col>2</xdr:col>
      <xdr:colOff>0</xdr:colOff>
      <xdr:row>56</xdr:row>
      <xdr:rowOff>0</xdr:rowOff>
    </xdr:from>
    <xdr:ext cx="2466975" cy="2085975"/>
    <xdr:pic>
      <xdr:nvPicPr>
        <xdr:cNvPr id="91" name="image80.png">
          <a:extLst>
            <a:ext uri="{FF2B5EF4-FFF2-40B4-BE49-F238E27FC236}">
              <a16:creationId xmlns:a16="http://schemas.microsoft.com/office/drawing/2014/main" id="{00000000-0008-0000-0200-00005B000000}"/>
            </a:ext>
          </a:extLst>
        </xdr:cNvPr>
        <xdr:cNvPicPr preferRelativeResize="0"/>
      </xdr:nvPicPr>
      <xdr:blipFill>
        <a:blip xmlns:r="http://schemas.openxmlformats.org/officeDocument/2006/relationships" r:embed="rId88" cstate="print"/>
        <a:stretch>
          <a:fillRect/>
        </a:stretch>
      </xdr:blipFill>
      <xdr:spPr>
        <a:prstGeom prst="rect">
          <a:avLst/>
        </a:prstGeom>
        <a:noFill/>
      </xdr:spPr>
    </xdr:pic>
    <xdr:clientData fLocksWithSheet="0"/>
  </xdr:oneCellAnchor>
  <xdr:oneCellAnchor>
    <xdr:from>
      <xdr:col>3</xdr:col>
      <xdr:colOff>0</xdr:colOff>
      <xdr:row>56</xdr:row>
      <xdr:rowOff>0</xdr:rowOff>
    </xdr:from>
    <xdr:ext cx="1695450" cy="2085975"/>
    <xdr:pic>
      <xdr:nvPicPr>
        <xdr:cNvPr id="92" name="image87.png">
          <a:extLst>
            <a:ext uri="{FF2B5EF4-FFF2-40B4-BE49-F238E27FC236}">
              <a16:creationId xmlns:a16="http://schemas.microsoft.com/office/drawing/2014/main" id="{00000000-0008-0000-0200-00005C000000}"/>
            </a:ext>
          </a:extLst>
        </xdr:cNvPr>
        <xdr:cNvPicPr preferRelativeResize="0"/>
      </xdr:nvPicPr>
      <xdr:blipFill>
        <a:blip xmlns:r="http://schemas.openxmlformats.org/officeDocument/2006/relationships" r:embed="rId89" cstate="print"/>
        <a:stretch>
          <a:fillRect/>
        </a:stretch>
      </xdr:blipFill>
      <xdr:spPr>
        <a:prstGeom prst="rect">
          <a:avLst/>
        </a:prstGeom>
        <a:noFill/>
      </xdr:spPr>
    </xdr:pic>
    <xdr:clientData fLocksWithSheet="0"/>
  </xdr:oneCellAnchor>
  <xdr:oneCellAnchor>
    <xdr:from>
      <xdr:col>2</xdr:col>
      <xdr:colOff>0</xdr:colOff>
      <xdr:row>60</xdr:row>
      <xdr:rowOff>0</xdr:rowOff>
    </xdr:from>
    <xdr:ext cx="1781175" cy="2085975"/>
    <xdr:pic>
      <xdr:nvPicPr>
        <xdr:cNvPr id="93" name="image89.png">
          <a:extLst>
            <a:ext uri="{FF2B5EF4-FFF2-40B4-BE49-F238E27FC236}">
              <a16:creationId xmlns:a16="http://schemas.microsoft.com/office/drawing/2014/main" id="{00000000-0008-0000-0200-00005D000000}"/>
            </a:ext>
          </a:extLst>
        </xdr:cNvPr>
        <xdr:cNvPicPr preferRelativeResize="0"/>
      </xdr:nvPicPr>
      <xdr:blipFill>
        <a:blip xmlns:r="http://schemas.openxmlformats.org/officeDocument/2006/relationships" r:embed="rId90" cstate="print"/>
        <a:stretch>
          <a:fillRect/>
        </a:stretch>
      </xdr:blipFill>
      <xdr:spPr>
        <a:prstGeom prst="rect">
          <a:avLst/>
        </a:prstGeom>
        <a:noFill/>
      </xdr:spPr>
    </xdr:pic>
    <xdr:clientData fLocksWithSheet="0"/>
  </xdr:oneCellAnchor>
  <xdr:oneCellAnchor>
    <xdr:from>
      <xdr:col>2</xdr:col>
      <xdr:colOff>0</xdr:colOff>
      <xdr:row>62</xdr:row>
      <xdr:rowOff>0</xdr:rowOff>
    </xdr:from>
    <xdr:ext cx="3600450" cy="1781175"/>
    <xdr:pic>
      <xdr:nvPicPr>
        <xdr:cNvPr id="94" name="image90.png">
          <a:extLst>
            <a:ext uri="{FF2B5EF4-FFF2-40B4-BE49-F238E27FC236}">
              <a16:creationId xmlns:a16="http://schemas.microsoft.com/office/drawing/2014/main" id="{00000000-0008-0000-0200-00005E000000}"/>
            </a:ext>
          </a:extLst>
        </xdr:cNvPr>
        <xdr:cNvPicPr preferRelativeResize="0"/>
      </xdr:nvPicPr>
      <xdr:blipFill>
        <a:blip xmlns:r="http://schemas.openxmlformats.org/officeDocument/2006/relationships" r:embed="rId91" cstate="print"/>
        <a:stretch>
          <a:fillRect/>
        </a:stretch>
      </xdr:blipFill>
      <xdr:spPr>
        <a:prstGeom prst="rect">
          <a:avLst/>
        </a:prstGeom>
        <a:noFill/>
      </xdr:spPr>
    </xdr:pic>
    <xdr:clientData fLocksWithSheet="0"/>
  </xdr:oneCellAnchor>
  <xdr:oneCellAnchor>
    <xdr:from>
      <xdr:col>3</xdr:col>
      <xdr:colOff>0</xdr:colOff>
      <xdr:row>62</xdr:row>
      <xdr:rowOff>0</xdr:rowOff>
    </xdr:from>
    <xdr:ext cx="2924175" cy="2085975"/>
    <xdr:pic>
      <xdr:nvPicPr>
        <xdr:cNvPr id="95" name="image84.png">
          <a:extLst>
            <a:ext uri="{FF2B5EF4-FFF2-40B4-BE49-F238E27FC236}">
              <a16:creationId xmlns:a16="http://schemas.microsoft.com/office/drawing/2014/main" id="{00000000-0008-0000-0200-00005F000000}"/>
            </a:ext>
          </a:extLst>
        </xdr:cNvPr>
        <xdr:cNvPicPr preferRelativeResize="0"/>
      </xdr:nvPicPr>
      <xdr:blipFill>
        <a:blip xmlns:r="http://schemas.openxmlformats.org/officeDocument/2006/relationships" r:embed="rId92" cstate="print"/>
        <a:stretch>
          <a:fillRect/>
        </a:stretch>
      </xdr:blipFill>
      <xdr:spPr>
        <a:prstGeom prst="rect">
          <a:avLst/>
        </a:prstGeom>
        <a:noFill/>
      </xdr:spPr>
    </xdr:pic>
    <xdr:clientData fLocksWithSheet="0"/>
  </xdr:oneCellAnchor>
  <xdr:oneCellAnchor>
    <xdr:from>
      <xdr:col>2</xdr:col>
      <xdr:colOff>0</xdr:colOff>
      <xdr:row>63</xdr:row>
      <xdr:rowOff>0</xdr:rowOff>
    </xdr:from>
    <xdr:ext cx="1885950" cy="2085975"/>
    <xdr:pic>
      <xdr:nvPicPr>
        <xdr:cNvPr id="96" name="image92.png">
          <a:extLst>
            <a:ext uri="{FF2B5EF4-FFF2-40B4-BE49-F238E27FC236}">
              <a16:creationId xmlns:a16="http://schemas.microsoft.com/office/drawing/2014/main" id="{00000000-0008-0000-0200-000060000000}"/>
            </a:ext>
          </a:extLst>
        </xdr:cNvPr>
        <xdr:cNvPicPr preferRelativeResize="0"/>
      </xdr:nvPicPr>
      <xdr:blipFill>
        <a:blip xmlns:r="http://schemas.openxmlformats.org/officeDocument/2006/relationships" r:embed="rId93" cstate="print"/>
        <a:stretch>
          <a:fillRect/>
        </a:stretch>
      </xdr:blipFill>
      <xdr:spPr>
        <a:prstGeom prst="rect">
          <a:avLst/>
        </a:prstGeom>
        <a:noFill/>
      </xdr:spPr>
    </xdr:pic>
    <xdr:clientData fLocksWithSheet="0"/>
  </xdr:oneCellAnchor>
  <xdr:oneCellAnchor>
    <xdr:from>
      <xdr:col>2</xdr:col>
      <xdr:colOff>0</xdr:colOff>
      <xdr:row>65</xdr:row>
      <xdr:rowOff>0</xdr:rowOff>
    </xdr:from>
    <xdr:ext cx="3133725" cy="2085975"/>
    <xdr:pic>
      <xdr:nvPicPr>
        <xdr:cNvPr id="97" name="image85.png">
          <a:extLst>
            <a:ext uri="{FF2B5EF4-FFF2-40B4-BE49-F238E27FC236}">
              <a16:creationId xmlns:a16="http://schemas.microsoft.com/office/drawing/2014/main" id="{00000000-0008-0000-0200-000061000000}"/>
            </a:ext>
          </a:extLst>
        </xdr:cNvPr>
        <xdr:cNvPicPr preferRelativeResize="0"/>
      </xdr:nvPicPr>
      <xdr:blipFill>
        <a:blip xmlns:r="http://schemas.openxmlformats.org/officeDocument/2006/relationships" r:embed="rId94" cstate="print"/>
        <a:stretch>
          <a:fillRect/>
        </a:stretch>
      </xdr:blipFill>
      <xdr:spPr>
        <a:prstGeom prst="rect">
          <a:avLst/>
        </a:prstGeom>
        <a:noFill/>
      </xdr:spPr>
    </xdr:pic>
    <xdr:clientData fLocksWithSheet="0"/>
  </xdr:oneCellAnchor>
  <xdr:oneCellAnchor>
    <xdr:from>
      <xdr:col>3</xdr:col>
      <xdr:colOff>0</xdr:colOff>
      <xdr:row>65</xdr:row>
      <xdr:rowOff>0</xdr:rowOff>
    </xdr:from>
    <xdr:ext cx="2724150" cy="2085975"/>
    <xdr:pic>
      <xdr:nvPicPr>
        <xdr:cNvPr id="98" name="image98.png">
          <a:extLst>
            <a:ext uri="{FF2B5EF4-FFF2-40B4-BE49-F238E27FC236}">
              <a16:creationId xmlns:a16="http://schemas.microsoft.com/office/drawing/2014/main" id="{00000000-0008-0000-0200-000062000000}"/>
            </a:ext>
          </a:extLst>
        </xdr:cNvPr>
        <xdr:cNvPicPr preferRelativeResize="0"/>
      </xdr:nvPicPr>
      <xdr:blipFill>
        <a:blip xmlns:r="http://schemas.openxmlformats.org/officeDocument/2006/relationships" r:embed="rId95" cstate="print"/>
        <a:stretch>
          <a:fillRect/>
        </a:stretch>
      </xdr:blipFill>
      <xdr:spPr>
        <a:prstGeom prst="rect">
          <a:avLst/>
        </a:prstGeom>
        <a:noFill/>
      </xdr:spPr>
    </xdr:pic>
    <xdr:clientData fLocksWithSheet="0"/>
  </xdr:oneCellAnchor>
  <xdr:oneCellAnchor>
    <xdr:from>
      <xdr:col>2</xdr:col>
      <xdr:colOff>0</xdr:colOff>
      <xdr:row>66</xdr:row>
      <xdr:rowOff>0</xdr:rowOff>
    </xdr:from>
    <xdr:ext cx="2428875" cy="2085975"/>
    <xdr:pic>
      <xdr:nvPicPr>
        <xdr:cNvPr id="99" name="image91.png">
          <a:extLst>
            <a:ext uri="{FF2B5EF4-FFF2-40B4-BE49-F238E27FC236}">
              <a16:creationId xmlns:a16="http://schemas.microsoft.com/office/drawing/2014/main" id="{00000000-0008-0000-0200-000063000000}"/>
            </a:ext>
          </a:extLst>
        </xdr:cNvPr>
        <xdr:cNvPicPr preferRelativeResize="0"/>
      </xdr:nvPicPr>
      <xdr:blipFill>
        <a:blip xmlns:r="http://schemas.openxmlformats.org/officeDocument/2006/relationships" r:embed="rId96" cstate="print"/>
        <a:stretch>
          <a:fillRect/>
        </a:stretch>
      </xdr:blipFill>
      <xdr:spPr>
        <a:prstGeom prst="rect">
          <a:avLst/>
        </a:prstGeom>
        <a:noFill/>
      </xdr:spPr>
    </xdr:pic>
    <xdr:clientData fLocksWithSheet="0"/>
  </xdr:oneCellAnchor>
  <xdr:oneCellAnchor>
    <xdr:from>
      <xdr:col>3</xdr:col>
      <xdr:colOff>0</xdr:colOff>
      <xdr:row>66</xdr:row>
      <xdr:rowOff>0</xdr:rowOff>
    </xdr:from>
    <xdr:ext cx="2371725" cy="2085975"/>
    <xdr:pic>
      <xdr:nvPicPr>
        <xdr:cNvPr id="100" name="image99.png">
          <a:extLst>
            <a:ext uri="{FF2B5EF4-FFF2-40B4-BE49-F238E27FC236}">
              <a16:creationId xmlns:a16="http://schemas.microsoft.com/office/drawing/2014/main" id="{00000000-0008-0000-0200-000064000000}"/>
            </a:ext>
          </a:extLst>
        </xdr:cNvPr>
        <xdr:cNvPicPr preferRelativeResize="0"/>
      </xdr:nvPicPr>
      <xdr:blipFill>
        <a:blip xmlns:r="http://schemas.openxmlformats.org/officeDocument/2006/relationships" r:embed="rId97" cstate="print"/>
        <a:stretch>
          <a:fillRect/>
        </a:stretch>
      </xdr:blipFill>
      <xdr:spPr>
        <a:prstGeom prst="rect">
          <a:avLst/>
        </a:prstGeom>
        <a:noFill/>
      </xdr:spPr>
    </xdr:pic>
    <xdr:clientData fLocksWithSheet="0"/>
  </xdr:oneCellAnchor>
  <xdr:oneCellAnchor>
    <xdr:from>
      <xdr:col>2</xdr:col>
      <xdr:colOff>0</xdr:colOff>
      <xdr:row>67</xdr:row>
      <xdr:rowOff>0</xdr:rowOff>
    </xdr:from>
    <xdr:ext cx="1847850" cy="2085975"/>
    <xdr:pic>
      <xdr:nvPicPr>
        <xdr:cNvPr id="101" name="image101.png">
          <a:extLst>
            <a:ext uri="{FF2B5EF4-FFF2-40B4-BE49-F238E27FC236}">
              <a16:creationId xmlns:a16="http://schemas.microsoft.com/office/drawing/2014/main" id="{00000000-0008-0000-0200-000065000000}"/>
            </a:ext>
          </a:extLst>
        </xdr:cNvPr>
        <xdr:cNvPicPr preferRelativeResize="0"/>
      </xdr:nvPicPr>
      <xdr:blipFill>
        <a:blip xmlns:r="http://schemas.openxmlformats.org/officeDocument/2006/relationships" r:embed="rId98" cstate="print"/>
        <a:stretch>
          <a:fillRect/>
        </a:stretch>
      </xdr:blipFill>
      <xdr:spPr>
        <a:prstGeom prst="rect">
          <a:avLst/>
        </a:prstGeom>
        <a:noFill/>
      </xdr:spPr>
    </xdr:pic>
    <xdr:clientData fLocksWithSheet="0"/>
  </xdr:oneCellAnchor>
  <xdr:oneCellAnchor>
    <xdr:from>
      <xdr:col>2</xdr:col>
      <xdr:colOff>0</xdr:colOff>
      <xdr:row>70</xdr:row>
      <xdr:rowOff>0</xdr:rowOff>
    </xdr:from>
    <xdr:ext cx="1876425" cy="2085975"/>
    <xdr:pic>
      <xdr:nvPicPr>
        <xdr:cNvPr id="102" name="image95.png" title="Imagen">
          <a:extLst>
            <a:ext uri="{FF2B5EF4-FFF2-40B4-BE49-F238E27FC236}">
              <a16:creationId xmlns:a16="http://schemas.microsoft.com/office/drawing/2014/main" id="{00000000-0008-0000-0200-000066000000}"/>
            </a:ext>
          </a:extLst>
        </xdr:cNvPr>
        <xdr:cNvPicPr preferRelativeResize="0"/>
      </xdr:nvPicPr>
      <xdr:blipFill>
        <a:blip xmlns:r="http://schemas.openxmlformats.org/officeDocument/2006/relationships" r:embed="rId99" cstate="print"/>
        <a:stretch>
          <a:fillRect/>
        </a:stretch>
      </xdr:blipFill>
      <xdr:spPr>
        <a:prstGeom prst="rect">
          <a:avLst/>
        </a:prstGeom>
        <a:noFill/>
      </xdr:spPr>
    </xdr:pic>
    <xdr:clientData fLocksWithSheet="0"/>
  </xdr:oneCellAnchor>
  <xdr:oneCellAnchor>
    <xdr:from>
      <xdr:col>2</xdr:col>
      <xdr:colOff>0</xdr:colOff>
      <xdr:row>71</xdr:row>
      <xdr:rowOff>0</xdr:rowOff>
    </xdr:from>
    <xdr:ext cx="1562100" cy="2085975"/>
    <xdr:pic>
      <xdr:nvPicPr>
        <xdr:cNvPr id="103" name="image113.jpg">
          <a:extLst>
            <a:ext uri="{FF2B5EF4-FFF2-40B4-BE49-F238E27FC236}">
              <a16:creationId xmlns:a16="http://schemas.microsoft.com/office/drawing/2014/main" id="{00000000-0008-0000-0200-000067000000}"/>
            </a:ext>
          </a:extLst>
        </xdr:cNvPr>
        <xdr:cNvPicPr preferRelativeResize="0"/>
      </xdr:nvPicPr>
      <xdr:blipFill>
        <a:blip xmlns:r="http://schemas.openxmlformats.org/officeDocument/2006/relationships" r:embed="rId100" cstate="print"/>
        <a:stretch>
          <a:fillRect/>
        </a:stretch>
      </xdr:blipFill>
      <xdr:spPr>
        <a:prstGeom prst="rect">
          <a:avLst/>
        </a:prstGeom>
        <a:noFill/>
      </xdr:spPr>
    </xdr:pic>
    <xdr:clientData fLocksWithSheet="0"/>
  </xdr:oneCellAnchor>
  <xdr:oneCellAnchor>
    <xdr:from>
      <xdr:col>2</xdr:col>
      <xdr:colOff>0</xdr:colOff>
      <xdr:row>72</xdr:row>
      <xdr:rowOff>0</xdr:rowOff>
    </xdr:from>
    <xdr:ext cx="1562100" cy="2085975"/>
    <xdr:pic>
      <xdr:nvPicPr>
        <xdr:cNvPr id="104" name="image97.jpg">
          <a:extLst>
            <a:ext uri="{FF2B5EF4-FFF2-40B4-BE49-F238E27FC236}">
              <a16:creationId xmlns:a16="http://schemas.microsoft.com/office/drawing/2014/main" id="{00000000-0008-0000-0200-000068000000}"/>
            </a:ext>
          </a:extLst>
        </xdr:cNvPr>
        <xdr:cNvPicPr preferRelativeResize="0"/>
      </xdr:nvPicPr>
      <xdr:blipFill>
        <a:blip xmlns:r="http://schemas.openxmlformats.org/officeDocument/2006/relationships" r:embed="rId101" cstate="print"/>
        <a:stretch>
          <a:fillRect/>
        </a:stretch>
      </xdr:blipFill>
      <xdr:spPr>
        <a:prstGeom prst="rect">
          <a:avLst/>
        </a:prstGeom>
        <a:noFill/>
      </xdr:spPr>
    </xdr:pic>
    <xdr:clientData fLocksWithSheet="0"/>
  </xdr:oneCellAnchor>
  <xdr:oneCellAnchor>
    <xdr:from>
      <xdr:col>2</xdr:col>
      <xdr:colOff>0</xdr:colOff>
      <xdr:row>74</xdr:row>
      <xdr:rowOff>0</xdr:rowOff>
    </xdr:from>
    <xdr:ext cx="2790825" cy="2085975"/>
    <xdr:pic>
      <xdr:nvPicPr>
        <xdr:cNvPr id="105" name="image100.png">
          <a:extLst>
            <a:ext uri="{FF2B5EF4-FFF2-40B4-BE49-F238E27FC236}">
              <a16:creationId xmlns:a16="http://schemas.microsoft.com/office/drawing/2014/main" id="{00000000-0008-0000-0200-000069000000}"/>
            </a:ext>
          </a:extLst>
        </xdr:cNvPr>
        <xdr:cNvPicPr preferRelativeResize="0"/>
      </xdr:nvPicPr>
      <xdr:blipFill>
        <a:blip xmlns:r="http://schemas.openxmlformats.org/officeDocument/2006/relationships" r:embed="rId102" cstate="print"/>
        <a:stretch>
          <a:fillRect/>
        </a:stretch>
      </xdr:blipFill>
      <xdr:spPr>
        <a:prstGeom prst="rect">
          <a:avLst/>
        </a:prstGeom>
        <a:noFill/>
      </xdr:spPr>
    </xdr:pic>
    <xdr:clientData fLocksWithSheet="0"/>
  </xdr:oneCellAnchor>
  <xdr:oneCellAnchor>
    <xdr:from>
      <xdr:col>3</xdr:col>
      <xdr:colOff>0</xdr:colOff>
      <xdr:row>74</xdr:row>
      <xdr:rowOff>0</xdr:rowOff>
    </xdr:from>
    <xdr:ext cx="3067050" cy="2085975"/>
    <xdr:pic>
      <xdr:nvPicPr>
        <xdr:cNvPr id="106" name="image115.png">
          <a:extLst>
            <a:ext uri="{FF2B5EF4-FFF2-40B4-BE49-F238E27FC236}">
              <a16:creationId xmlns:a16="http://schemas.microsoft.com/office/drawing/2014/main" id="{00000000-0008-0000-0200-00006A000000}"/>
            </a:ext>
          </a:extLst>
        </xdr:cNvPr>
        <xdr:cNvPicPr preferRelativeResize="0"/>
      </xdr:nvPicPr>
      <xdr:blipFill>
        <a:blip xmlns:r="http://schemas.openxmlformats.org/officeDocument/2006/relationships" r:embed="rId103" cstate="print"/>
        <a:stretch>
          <a:fillRect/>
        </a:stretch>
      </xdr:blipFill>
      <xdr:spPr>
        <a:prstGeom prst="rect">
          <a:avLst/>
        </a:prstGeom>
        <a:noFill/>
      </xdr:spPr>
    </xdr:pic>
    <xdr:clientData fLocksWithSheet="0"/>
  </xdr:oneCellAnchor>
  <xdr:oneCellAnchor>
    <xdr:from>
      <xdr:col>2</xdr:col>
      <xdr:colOff>0</xdr:colOff>
      <xdr:row>76</xdr:row>
      <xdr:rowOff>0</xdr:rowOff>
    </xdr:from>
    <xdr:ext cx="2085975" cy="2085975"/>
    <xdr:pic>
      <xdr:nvPicPr>
        <xdr:cNvPr id="107" name="image96.png">
          <a:extLst>
            <a:ext uri="{FF2B5EF4-FFF2-40B4-BE49-F238E27FC236}">
              <a16:creationId xmlns:a16="http://schemas.microsoft.com/office/drawing/2014/main" id="{00000000-0008-0000-0200-00006B000000}"/>
            </a:ext>
          </a:extLst>
        </xdr:cNvPr>
        <xdr:cNvPicPr preferRelativeResize="0"/>
      </xdr:nvPicPr>
      <xdr:blipFill>
        <a:blip xmlns:r="http://schemas.openxmlformats.org/officeDocument/2006/relationships" r:embed="rId104" cstate="print"/>
        <a:stretch>
          <a:fillRect/>
        </a:stretch>
      </xdr:blipFill>
      <xdr:spPr>
        <a:prstGeom prst="rect">
          <a:avLst/>
        </a:prstGeom>
        <a:noFill/>
      </xdr:spPr>
    </xdr:pic>
    <xdr:clientData fLocksWithSheet="0"/>
  </xdr:oneCellAnchor>
  <xdr:oneCellAnchor>
    <xdr:from>
      <xdr:col>3</xdr:col>
      <xdr:colOff>0</xdr:colOff>
      <xdr:row>76</xdr:row>
      <xdr:rowOff>0</xdr:rowOff>
    </xdr:from>
    <xdr:ext cx="2381250" cy="2085975"/>
    <xdr:pic>
      <xdr:nvPicPr>
        <xdr:cNvPr id="108" name="image117.png">
          <a:extLst>
            <a:ext uri="{FF2B5EF4-FFF2-40B4-BE49-F238E27FC236}">
              <a16:creationId xmlns:a16="http://schemas.microsoft.com/office/drawing/2014/main" id="{00000000-0008-0000-0200-00006C000000}"/>
            </a:ext>
          </a:extLst>
        </xdr:cNvPr>
        <xdr:cNvPicPr preferRelativeResize="0"/>
      </xdr:nvPicPr>
      <xdr:blipFill>
        <a:blip xmlns:r="http://schemas.openxmlformats.org/officeDocument/2006/relationships" r:embed="rId105" cstate="print"/>
        <a:stretch>
          <a:fillRect/>
        </a:stretch>
      </xdr:blipFill>
      <xdr:spPr>
        <a:prstGeom prst="rect">
          <a:avLst/>
        </a:prstGeom>
        <a:noFill/>
      </xdr:spPr>
    </xdr:pic>
    <xdr:clientData fLocksWithSheet="0"/>
  </xdr:oneCellAnchor>
  <xdr:oneCellAnchor>
    <xdr:from>
      <xdr:col>3</xdr:col>
      <xdr:colOff>0</xdr:colOff>
      <xdr:row>77</xdr:row>
      <xdr:rowOff>0</xdr:rowOff>
    </xdr:from>
    <xdr:ext cx="3152775" cy="1857375"/>
    <xdr:pic>
      <xdr:nvPicPr>
        <xdr:cNvPr id="109" name="image112.png">
          <a:extLst>
            <a:ext uri="{FF2B5EF4-FFF2-40B4-BE49-F238E27FC236}">
              <a16:creationId xmlns:a16="http://schemas.microsoft.com/office/drawing/2014/main" id="{00000000-0008-0000-0200-00006D000000}"/>
            </a:ext>
          </a:extLst>
        </xdr:cNvPr>
        <xdr:cNvPicPr preferRelativeResize="0"/>
      </xdr:nvPicPr>
      <xdr:blipFill>
        <a:blip xmlns:r="http://schemas.openxmlformats.org/officeDocument/2006/relationships" r:embed="rId106" cstate="print"/>
        <a:stretch>
          <a:fillRect/>
        </a:stretch>
      </xdr:blipFill>
      <xdr:spPr>
        <a:prstGeom prst="rect">
          <a:avLst/>
        </a:prstGeom>
        <a:noFill/>
      </xdr:spPr>
    </xdr:pic>
    <xdr:clientData fLocksWithSheet="0"/>
  </xdr:oneCellAnchor>
  <xdr:oneCellAnchor>
    <xdr:from>
      <xdr:col>3</xdr:col>
      <xdr:colOff>0</xdr:colOff>
      <xdr:row>78</xdr:row>
      <xdr:rowOff>0</xdr:rowOff>
    </xdr:from>
    <xdr:ext cx="3152775" cy="2000250"/>
    <xdr:pic>
      <xdr:nvPicPr>
        <xdr:cNvPr id="110" name="image119.png">
          <a:extLst>
            <a:ext uri="{FF2B5EF4-FFF2-40B4-BE49-F238E27FC236}">
              <a16:creationId xmlns:a16="http://schemas.microsoft.com/office/drawing/2014/main" id="{00000000-0008-0000-0200-00006E000000}"/>
            </a:ext>
          </a:extLst>
        </xdr:cNvPr>
        <xdr:cNvPicPr preferRelativeResize="0"/>
      </xdr:nvPicPr>
      <xdr:blipFill>
        <a:blip xmlns:r="http://schemas.openxmlformats.org/officeDocument/2006/relationships" r:embed="rId107" cstate="print"/>
        <a:stretch>
          <a:fillRect/>
        </a:stretch>
      </xdr:blipFill>
      <xdr:spPr>
        <a:prstGeom prst="rect">
          <a:avLst/>
        </a:prstGeom>
        <a:noFill/>
      </xdr:spPr>
    </xdr:pic>
    <xdr:clientData fLocksWithSheet="0"/>
  </xdr:oneCellAnchor>
  <xdr:oneCellAnchor>
    <xdr:from>
      <xdr:col>2</xdr:col>
      <xdr:colOff>0</xdr:colOff>
      <xdr:row>79</xdr:row>
      <xdr:rowOff>0</xdr:rowOff>
    </xdr:from>
    <xdr:ext cx="2552700" cy="2085975"/>
    <xdr:pic>
      <xdr:nvPicPr>
        <xdr:cNvPr id="111" name="image94.png">
          <a:extLst>
            <a:ext uri="{FF2B5EF4-FFF2-40B4-BE49-F238E27FC236}">
              <a16:creationId xmlns:a16="http://schemas.microsoft.com/office/drawing/2014/main" id="{00000000-0008-0000-0200-00006F000000}"/>
            </a:ext>
          </a:extLst>
        </xdr:cNvPr>
        <xdr:cNvPicPr preferRelativeResize="0"/>
      </xdr:nvPicPr>
      <xdr:blipFill>
        <a:blip xmlns:r="http://schemas.openxmlformats.org/officeDocument/2006/relationships" r:embed="rId108" cstate="print"/>
        <a:stretch>
          <a:fillRect/>
        </a:stretch>
      </xdr:blipFill>
      <xdr:spPr>
        <a:prstGeom prst="rect">
          <a:avLst/>
        </a:prstGeom>
        <a:noFill/>
      </xdr:spPr>
    </xdr:pic>
    <xdr:clientData fLocksWithSheet="0"/>
  </xdr:oneCellAnchor>
  <xdr:oneCellAnchor>
    <xdr:from>
      <xdr:col>3</xdr:col>
      <xdr:colOff>0</xdr:colOff>
      <xdr:row>79</xdr:row>
      <xdr:rowOff>0</xdr:rowOff>
    </xdr:from>
    <xdr:ext cx="2638425" cy="2085975"/>
    <xdr:pic>
      <xdr:nvPicPr>
        <xdr:cNvPr id="112" name="image111.png">
          <a:extLst>
            <a:ext uri="{FF2B5EF4-FFF2-40B4-BE49-F238E27FC236}">
              <a16:creationId xmlns:a16="http://schemas.microsoft.com/office/drawing/2014/main" id="{00000000-0008-0000-0200-000070000000}"/>
            </a:ext>
          </a:extLst>
        </xdr:cNvPr>
        <xdr:cNvPicPr preferRelativeResize="0"/>
      </xdr:nvPicPr>
      <xdr:blipFill>
        <a:blip xmlns:r="http://schemas.openxmlformats.org/officeDocument/2006/relationships" r:embed="rId109" cstate="print"/>
        <a:stretch>
          <a:fillRect/>
        </a:stretch>
      </xdr:blipFill>
      <xdr:spPr>
        <a:prstGeom prst="rect">
          <a:avLst/>
        </a:prstGeom>
        <a:noFill/>
      </xdr:spPr>
    </xdr:pic>
    <xdr:clientData fLocksWithSheet="0"/>
  </xdr:oneCellAnchor>
  <xdr:oneCellAnchor>
    <xdr:from>
      <xdr:col>3</xdr:col>
      <xdr:colOff>0</xdr:colOff>
      <xdr:row>81</xdr:row>
      <xdr:rowOff>0</xdr:rowOff>
    </xdr:from>
    <xdr:ext cx="1562100" cy="2085975"/>
    <xdr:pic>
      <xdr:nvPicPr>
        <xdr:cNvPr id="113" name="image110.jpg">
          <a:extLst>
            <a:ext uri="{FF2B5EF4-FFF2-40B4-BE49-F238E27FC236}">
              <a16:creationId xmlns:a16="http://schemas.microsoft.com/office/drawing/2014/main" id="{00000000-0008-0000-0200-000071000000}"/>
            </a:ext>
          </a:extLst>
        </xdr:cNvPr>
        <xdr:cNvPicPr preferRelativeResize="0"/>
      </xdr:nvPicPr>
      <xdr:blipFill>
        <a:blip xmlns:r="http://schemas.openxmlformats.org/officeDocument/2006/relationships" r:embed="rId110" cstate="print"/>
        <a:stretch>
          <a:fillRect/>
        </a:stretch>
      </xdr:blipFill>
      <xdr:spPr>
        <a:prstGeom prst="rect">
          <a:avLst/>
        </a:prstGeom>
        <a:noFill/>
      </xdr:spPr>
    </xdr:pic>
    <xdr:clientData fLocksWithSheet="0"/>
  </xdr:oneCellAnchor>
  <xdr:oneCellAnchor>
    <xdr:from>
      <xdr:col>2</xdr:col>
      <xdr:colOff>0</xdr:colOff>
      <xdr:row>82</xdr:row>
      <xdr:rowOff>0</xdr:rowOff>
    </xdr:from>
    <xdr:ext cx="2743200" cy="2085975"/>
    <xdr:pic>
      <xdr:nvPicPr>
        <xdr:cNvPr id="114" name="image121.png">
          <a:extLst>
            <a:ext uri="{FF2B5EF4-FFF2-40B4-BE49-F238E27FC236}">
              <a16:creationId xmlns:a16="http://schemas.microsoft.com/office/drawing/2014/main" id="{00000000-0008-0000-0200-000072000000}"/>
            </a:ext>
          </a:extLst>
        </xdr:cNvPr>
        <xdr:cNvPicPr preferRelativeResize="0"/>
      </xdr:nvPicPr>
      <xdr:blipFill>
        <a:blip xmlns:r="http://schemas.openxmlformats.org/officeDocument/2006/relationships" r:embed="rId111" cstate="print"/>
        <a:stretch>
          <a:fillRect/>
        </a:stretch>
      </xdr:blipFill>
      <xdr:spPr>
        <a:prstGeom prst="rect">
          <a:avLst/>
        </a:prstGeom>
        <a:noFill/>
      </xdr:spPr>
    </xdr:pic>
    <xdr:clientData fLocksWithSheet="0"/>
  </xdr:oneCellAnchor>
  <xdr:oneCellAnchor>
    <xdr:from>
      <xdr:col>2</xdr:col>
      <xdr:colOff>0</xdr:colOff>
      <xdr:row>83</xdr:row>
      <xdr:rowOff>0</xdr:rowOff>
    </xdr:from>
    <xdr:ext cx="2724150" cy="2085975"/>
    <xdr:pic>
      <xdr:nvPicPr>
        <xdr:cNvPr id="115" name="image107.png">
          <a:extLst>
            <a:ext uri="{FF2B5EF4-FFF2-40B4-BE49-F238E27FC236}">
              <a16:creationId xmlns:a16="http://schemas.microsoft.com/office/drawing/2014/main" id="{00000000-0008-0000-0200-000073000000}"/>
            </a:ext>
          </a:extLst>
        </xdr:cNvPr>
        <xdr:cNvPicPr preferRelativeResize="0"/>
      </xdr:nvPicPr>
      <xdr:blipFill>
        <a:blip xmlns:r="http://schemas.openxmlformats.org/officeDocument/2006/relationships" r:embed="rId112" cstate="print"/>
        <a:stretch>
          <a:fillRect/>
        </a:stretch>
      </xdr:blipFill>
      <xdr:spPr>
        <a:prstGeom prst="rect">
          <a:avLst/>
        </a:prstGeom>
        <a:noFill/>
      </xdr:spPr>
    </xdr:pic>
    <xdr:clientData fLocksWithSheet="0"/>
  </xdr:oneCellAnchor>
  <xdr:oneCellAnchor>
    <xdr:from>
      <xdr:col>2</xdr:col>
      <xdr:colOff>0</xdr:colOff>
      <xdr:row>84</xdr:row>
      <xdr:rowOff>0</xdr:rowOff>
    </xdr:from>
    <xdr:ext cx="1304925" cy="2085975"/>
    <xdr:pic>
      <xdr:nvPicPr>
        <xdr:cNvPr id="116" name="image102.png">
          <a:extLst>
            <a:ext uri="{FF2B5EF4-FFF2-40B4-BE49-F238E27FC236}">
              <a16:creationId xmlns:a16="http://schemas.microsoft.com/office/drawing/2014/main" id="{00000000-0008-0000-0200-000074000000}"/>
            </a:ext>
          </a:extLst>
        </xdr:cNvPr>
        <xdr:cNvPicPr preferRelativeResize="0"/>
      </xdr:nvPicPr>
      <xdr:blipFill>
        <a:blip xmlns:r="http://schemas.openxmlformats.org/officeDocument/2006/relationships" r:embed="rId113" cstate="print"/>
        <a:stretch>
          <a:fillRect/>
        </a:stretch>
      </xdr:blipFill>
      <xdr:spPr>
        <a:prstGeom prst="rect">
          <a:avLst/>
        </a:prstGeom>
        <a:noFill/>
      </xdr:spPr>
    </xdr:pic>
    <xdr:clientData fLocksWithSheet="0"/>
  </xdr:oneCellAnchor>
  <xdr:oneCellAnchor>
    <xdr:from>
      <xdr:col>2</xdr:col>
      <xdr:colOff>0</xdr:colOff>
      <xdr:row>85</xdr:row>
      <xdr:rowOff>0</xdr:rowOff>
    </xdr:from>
    <xdr:ext cx="3143250" cy="2076450"/>
    <xdr:pic>
      <xdr:nvPicPr>
        <xdr:cNvPr id="117" name="image104.png">
          <a:extLst>
            <a:ext uri="{FF2B5EF4-FFF2-40B4-BE49-F238E27FC236}">
              <a16:creationId xmlns:a16="http://schemas.microsoft.com/office/drawing/2014/main" id="{00000000-0008-0000-0200-000075000000}"/>
            </a:ext>
          </a:extLst>
        </xdr:cNvPr>
        <xdr:cNvPicPr preferRelativeResize="0"/>
      </xdr:nvPicPr>
      <xdr:blipFill>
        <a:blip xmlns:r="http://schemas.openxmlformats.org/officeDocument/2006/relationships" r:embed="rId114" cstate="print"/>
        <a:stretch>
          <a:fillRect/>
        </a:stretch>
      </xdr:blipFill>
      <xdr:spPr>
        <a:prstGeom prst="rect">
          <a:avLst/>
        </a:prstGeom>
        <a:noFill/>
      </xdr:spPr>
    </xdr:pic>
    <xdr:clientData fLocksWithSheet="0"/>
  </xdr:oneCellAnchor>
  <xdr:oneCellAnchor>
    <xdr:from>
      <xdr:col>2</xdr:col>
      <xdr:colOff>0</xdr:colOff>
      <xdr:row>86</xdr:row>
      <xdr:rowOff>0</xdr:rowOff>
    </xdr:from>
    <xdr:ext cx="2028825" cy="2085975"/>
    <xdr:pic>
      <xdr:nvPicPr>
        <xdr:cNvPr id="118" name="image155.png">
          <a:extLst>
            <a:ext uri="{FF2B5EF4-FFF2-40B4-BE49-F238E27FC236}">
              <a16:creationId xmlns:a16="http://schemas.microsoft.com/office/drawing/2014/main" id="{00000000-0008-0000-0200-000076000000}"/>
            </a:ext>
          </a:extLst>
        </xdr:cNvPr>
        <xdr:cNvPicPr preferRelativeResize="0"/>
      </xdr:nvPicPr>
      <xdr:blipFill>
        <a:blip xmlns:r="http://schemas.openxmlformats.org/officeDocument/2006/relationships" r:embed="rId115" cstate="print"/>
        <a:stretch>
          <a:fillRect/>
        </a:stretch>
      </xdr:blipFill>
      <xdr:spPr>
        <a:prstGeom prst="rect">
          <a:avLst/>
        </a:prstGeom>
        <a:noFill/>
      </xdr:spPr>
    </xdr:pic>
    <xdr:clientData fLocksWithSheet="0"/>
  </xdr:oneCellAnchor>
  <xdr:oneCellAnchor>
    <xdr:from>
      <xdr:col>3</xdr:col>
      <xdr:colOff>0</xdr:colOff>
      <xdr:row>86</xdr:row>
      <xdr:rowOff>0</xdr:rowOff>
    </xdr:from>
    <xdr:ext cx="3152775" cy="1847850"/>
    <xdr:pic>
      <xdr:nvPicPr>
        <xdr:cNvPr id="119" name="image116.png">
          <a:extLst>
            <a:ext uri="{FF2B5EF4-FFF2-40B4-BE49-F238E27FC236}">
              <a16:creationId xmlns:a16="http://schemas.microsoft.com/office/drawing/2014/main" id="{00000000-0008-0000-0200-000077000000}"/>
            </a:ext>
          </a:extLst>
        </xdr:cNvPr>
        <xdr:cNvPicPr preferRelativeResize="0"/>
      </xdr:nvPicPr>
      <xdr:blipFill>
        <a:blip xmlns:r="http://schemas.openxmlformats.org/officeDocument/2006/relationships" r:embed="rId116" cstate="print"/>
        <a:stretch>
          <a:fillRect/>
        </a:stretch>
      </xdr:blipFill>
      <xdr:spPr>
        <a:prstGeom prst="rect">
          <a:avLst/>
        </a:prstGeom>
        <a:noFill/>
      </xdr:spPr>
    </xdr:pic>
    <xdr:clientData fLocksWithSheet="0"/>
  </xdr:oneCellAnchor>
  <xdr:oneCellAnchor>
    <xdr:from>
      <xdr:col>2</xdr:col>
      <xdr:colOff>0</xdr:colOff>
      <xdr:row>87</xdr:row>
      <xdr:rowOff>0</xdr:rowOff>
    </xdr:from>
    <xdr:ext cx="1971675" cy="2085975"/>
    <xdr:pic>
      <xdr:nvPicPr>
        <xdr:cNvPr id="120" name="image108.png">
          <a:extLst>
            <a:ext uri="{FF2B5EF4-FFF2-40B4-BE49-F238E27FC236}">
              <a16:creationId xmlns:a16="http://schemas.microsoft.com/office/drawing/2014/main" id="{00000000-0008-0000-0200-000078000000}"/>
            </a:ext>
          </a:extLst>
        </xdr:cNvPr>
        <xdr:cNvPicPr preferRelativeResize="0"/>
      </xdr:nvPicPr>
      <xdr:blipFill>
        <a:blip xmlns:r="http://schemas.openxmlformats.org/officeDocument/2006/relationships" r:embed="rId117" cstate="print"/>
        <a:stretch>
          <a:fillRect/>
        </a:stretch>
      </xdr:blipFill>
      <xdr:spPr>
        <a:prstGeom prst="rect">
          <a:avLst/>
        </a:prstGeom>
        <a:noFill/>
      </xdr:spPr>
    </xdr:pic>
    <xdr:clientData fLocksWithSheet="0"/>
  </xdr:oneCellAnchor>
  <xdr:oneCellAnchor>
    <xdr:from>
      <xdr:col>2</xdr:col>
      <xdr:colOff>0</xdr:colOff>
      <xdr:row>89</xdr:row>
      <xdr:rowOff>0</xdr:rowOff>
    </xdr:from>
    <xdr:ext cx="2438400" cy="2085975"/>
    <xdr:pic>
      <xdr:nvPicPr>
        <xdr:cNvPr id="121" name="image105.png">
          <a:extLst>
            <a:ext uri="{FF2B5EF4-FFF2-40B4-BE49-F238E27FC236}">
              <a16:creationId xmlns:a16="http://schemas.microsoft.com/office/drawing/2014/main" id="{00000000-0008-0000-0200-000079000000}"/>
            </a:ext>
          </a:extLst>
        </xdr:cNvPr>
        <xdr:cNvPicPr preferRelativeResize="0"/>
      </xdr:nvPicPr>
      <xdr:blipFill>
        <a:blip xmlns:r="http://schemas.openxmlformats.org/officeDocument/2006/relationships" r:embed="rId118" cstate="print"/>
        <a:stretch>
          <a:fillRect/>
        </a:stretch>
      </xdr:blipFill>
      <xdr:spPr>
        <a:prstGeom prst="rect">
          <a:avLst/>
        </a:prstGeom>
        <a:noFill/>
      </xdr:spPr>
    </xdr:pic>
    <xdr:clientData fLocksWithSheet="0"/>
  </xdr:oneCellAnchor>
  <xdr:oneCellAnchor>
    <xdr:from>
      <xdr:col>3</xdr:col>
      <xdr:colOff>0</xdr:colOff>
      <xdr:row>89</xdr:row>
      <xdr:rowOff>0</xdr:rowOff>
    </xdr:from>
    <xdr:ext cx="3124200" cy="2085975"/>
    <xdr:pic>
      <xdr:nvPicPr>
        <xdr:cNvPr id="122" name="image123.jpg">
          <a:extLst>
            <a:ext uri="{FF2B5EF4-FFF2-40B4-BE49-F238E27FC236}">
              <a16:creationId xmlns:a16="http://schemas.microsoft.com/office/drawing/2014/main" id="{00000000-0008-0000-0200-00007A000000}"/>
            </a:ext>
          </a:extLst>
        </xdr:cNvPr>
        <xdr:cNvPicPr preferRelativeResize="0"/>
      </xdr:nvPicPr>
      <xdr:blipFill>
        <a:blip xmlns:r="http://schemas.openxmlformats.org/officeDocument/2006/relationships" r:embed="rId119" cstate="print"/>
        <a:stretch>
          <a:fillRect/>
        </a:stretch>
      </xdr:blipFill>
      <xdr:spPr>
        <a:prstGeom prst="rect">
          <a:avLst/>
        </a:prstGeom>
        <a:noFill/>
      </xdr:spPr>
    </xdr:pic>
    <xdr:clientData fLocksWithSheet="0"/>
  </xdr:oneCellAnchor>
  <xdr:oneCellAnchor>
    <xdr:from>
      <xdr:col>2</xdr:col>
      <xdr:colOff>0</xdr:colOff>
      <xdr:row>92</xdr:row>
      <xdr:rowOff>0</xdr:rowOff>
    </xdr:from>
    <xdr:ext cx="1609725" cy="2085975"/>
    <xdr:pic>
      <xdr:nvPicPr>
        <xdr:cNvPr id="123" name="image114.png">
          <a:extLst>
            <a:ext uri="{FF2B5EF4-FFF2-40B4-BE49-F238E27FC236}">
              <a16:creationId xmlns:a16="http://schemas.microsoft.com/office/drawing/2014/main" id="{00000000-0008-0000-0200-00007B000000}"/>
            </a:ext>
          </a:extLst>
        </xdr:cNvPr>
        <xdr:cNvPicPr preferRelativeResize="0"/>
      </xdr:nvPicPr>
      <xdr:blipFill>
        <a:blip xmlns:r="http://schemas.openxmlformats.org/officeDocument/2006/relationships" r:embed="rId120" cstate="print"/>
        <a:stretch>
          <a:fillRect/>
        </a:stretch>
      </xdr:blipFill>
      <xdr:spPr>
        <a:prstGeom prst="rect">
          <a:avLst/>
        </a:prstGeom>
        <a:noFill/>
      </xdr:spPr>
    </xdr:pic>
    <xdr:clientData fLocksWithSheet="0"/>
  </xdr:oneCellAnchor>
  <xdr:oneCellAnchor>
    <xdr:from>
      <xdr:col>3</xdr:col>
      <xdr:colOff>0</xdr:colOff>
      <xdr:row>92</xdr:row>
      <xdr:rowOff>0</xdr:rowOff>
    </xdr:from>
    <xdr:ext cx="3152775" cy="2066925"/>
    <xdr:pic>
      <xdr:nvPicPr>
        <xdr:cNvPr id="124" name="image118.png" title="Imagen">
          <a:extLst>
            <a:ext uri="{FF2B5EF4-FFF2-40B4-BE49-F238E27FC236}">
              <a16:creationId xmlns:a16="http://schemas.microsoft.com/office/drawing/2014/main" id="{00000000-0008-0000-0200-00007C000000}"/>
            </a:ext>
          </a:extLst>
        </xdr:cNvPr>
        <xdr:cNvPicPr preferRelativeResize="0"/>
      </xdr:nvPicPr>
      <xdr:blipFill>
        <a:blip xmlns:r="http://schemas.openxmlformats.org/officeDocument/2006/relationships" r:embed="rId121" cstate="print"/>
        <a:stretch>
          <a:fillRect/>
        </a:stretch>
      </xdr:blipFill>
      <xdr:spPr>
        <a:prstGeom prst="rect">
          <a:avLst/>
        </a:prstGeom>
        <a:noFill/>
      </xdr:spPr>
    </xdr:pic>
    <xdr:clientData fLocksWithSheet="0"/>
  </xdr:oneCellAnchor>
  <xdr:oneCellAnchor>
    <xdr:from>
      <xdr:col>2</xdr:col>
      <xdr:colOff>0</xdr:colOff>
      <xdr:row>93</xdr:row>
      <xdr:rowOff>0</xdr:rowOff>
    </xdr:from>
    <xdr:ext cx="1562100" cy="2085975"/>
    <xdr:pic>
      <xdr:nvPicPr>
        <xdr:cNvPr id="125" name="image120.jpg">
          <a:extLst>
            <a:ext uri="{FF2B5EF4-FFF2-40B4-BE49-F238E27FC236}">
              <a16:creationId xmlns:a16="http://schemas.microsoft.com/office/drawing/2014/main" id="{00000000-0008-0000-0200-00007D000000}"/>
            </a:ext>
          </a:extLst>
        </xdr:cNvPr>
        <xdr:cNvPicPr preferRelativeResize="0"/>
      </xdr:nvPicPr>
      <xdr:blipFill>
        <a:blip xmlns:r="http://schemas.openxmlformats.org/officeDocument/2006/relationships" r:embed="rId122" cstate="print"/>
        <a:stretch>
          <a:fillRect/>
        </a:stretch>
      </xdr:blipFill>
      <xdr:spPr>
        <a:prstGeom prst="rect">
          <a:avLst/>
        </a:prstGeom>
        <a:noFill/>
      </xdr:spPr>
    </xdr:pic>
    <xdr:clientData fLocksWithSheet="0"/>
  </xdr:oneCellAnchor>
  <xdr:oneCellAnchor>
    <xdr:from>
      <xdr:col>3</xdr:col>
      <xdr:colOff>0</xdr:colOff>
      <xdr:row>93</xdr:row>
      <xdr:rowOff>0</xdr:rowOff>
    </xdr:from>
    <xdr:ext cx="2676525" cy="2085975"/>
    <xdr:pic>
      <xdr:nvPicPr>
        <xdr:cNvPr id="126" name="image146.png" title="Imagen">
          <a:extLst>
            <a:ext uri="{FF2B5EF4-FFF2-40B4-BE49-F238E27FC236}">
              <a16:creationId xmlns:a16="http://schemas.microsoft.com/office/drawing/2014/main" id="{00000000-0008-0000-0200-00007E000000}"/>
            </a:ext>
          </a:extLst>
        </xdr:cNvPr>
        <xdr:cNvPicPr preferRelativeResize="0"/>
      </xdr:nvPicPr>
      <xdr:blipFill>
        <a:blip xmlns:r="http://schemas.openxmlformats.org/officeDocument/2006/relationships" r:embed="rId123" cstate="print"/>
        <a:stretch>
          <a:fillRect/>
        </a:stretch>
      </xdr:blipFill>
      <xdr:spPr>
        <a:prstGeom prst="rect">
          <a:avLst/>
        </a:prstGeom>
        <a:noFill/>
      </xdr:spPr>
    </xdr:pic>
    <xdr:clientData fLocksWithSheet="0"/>
  </xdr:oneCellAnchor>
  <xdr:oneCellAnchor>
    <xdr:from>
      <xdr:col>2</xdr:col>
      <xdr:colOff>0</xdr:colOff>
      <xdr:row>94</xdr:row>
      <xdr:rowOff>0</xdr:rowOff>
    </xdr:from>
    <xdr:ext cx="2333625" cy="2085975"/>
    <xdr:pic>
      <xdr:nvPicPr>
        <xdr:cNvPr id="127" name="image128.png" title="Imagen">
          <a:extLst>
            <a:ext uri="{FF2B5EF4-FFF2-40B4-BE49-F238E27FC236}">
              <a16:creationId xmlns:a16="http://schemas.microsoft.com/office/drawing/2014/main" id="{00000000-0008-0000-0200-00007F000000}"/>
            </a:ext>
          </a:extLst>
        </xdr:cNvPr>
        <xdr:cNvPicPr preferRelativeResize="0"/>
      </xdr:nvPicPr>
      <xdr:blipFill>
        <a:blip xmlns:r="http://schemas.openxmlformats.org/officeDocument/2006/relationships" r:embed="rId124" cstate="print"/>
        <a:stretch>
          <a:fillRect/>
        </a:stretch>
      </xdr:blipFill>
      <xdr:spPr>
        <a:prstGeom prst="rect">
          <a:avLst/>
        </a:prstGeom>
        <a:noFill/>
      </xdr:spPr>
    </xdr:pic>
    <xdr:clientData fLocksWithSheet="0"/>
  </xdr:oneCellAnchor>
  <xdr:oneCellAnchor>
    <xdr:from>
      <xdr:col>3</xdr:col>
      <xdr:colOff>0</xdr:colOff>
      <xdr:row>94</xdr:row>
      <xdr:rowOff>0</xdr:rowOff>
    </xdr:from>
    <xdr:ext cx="2324100" cy="2085975"/>
    <xdr:pic>
      <xdr:nvPicPr>
        <xdr:cNvPr id="128" name="image125.png" title="Imagen">
          <a:extLst>
            <a:ext uri="{FF2B5EF4-FFF2-40B4-BE49-F238E27FC236}">
              <a16:creationId xmlns:a16="http://schemas.microsoft.com/office/drawing/2014/main" id="{00000000-0008-0000-0200-000080000000}"/>
            </a:ext>
          </a:extLst>
        </xdr:cNvPr>
        <xdr:cNvPicPr preferRelativeResize="0"/>
      </xdr:nvPicPr>
      <xdr:blipFill>
        <a:blip xmlns:r="http://schemas.openxmlformats.org/officeDocument/2006/relationships" r:embed="rId125" cstate="print"/>
        <a:stretch>
          <a:fillRect/>
        </a:stretch>
      </xdr:blipFill>
      <xdr:spPr>
        <a:prstGeom prst="rect">
          <a:avLst/>
        </a:prstGeom>
        <a:noFill/>
      </xdr:spPr>
    </xdr:pic>
    <xdr:clientData fLocksWithSheet="0"/>
  </xdr:oneCellAnchor>
  <xdr:oneCellAnchor>
    <xdr:from>
      <xdr:col>2</xdr:col>
      <xdr:colOff>0</xdr:colOff>
      <xdr:row>95</xdr:row>
      <xdr:rowOff>0</xdr:rowOff>
    </xdr:from>
    <xdr:ext cx="2781300" cy="2085975"/>
    <xdr:pic>
      <xdr:nvPicPr>
        <xdr:cNvPr id="129" name="image141.png">
          <a:extLst>
            <a:ext uri="{FF2B5EF4-FFF2-40B4-BE49-F238E27FC236}">
              <a16:creationId xmlns:a16="http://schemas.microsoft.com/office/drawing/2014/main" id="{00000000-0008-0000-0200-000081000000}"/>
            </a:ext>
          </a:extLst>
        </xdr:cNvPr>
        <xdr:cNvPicPr preferRelativeResize="0"/>
      </xdr:nvPicPr>
      <xdr:blipFill>
        <a:blip xmlns:r="http://schemas.openxmlformats.org/officeDocument/2006/relationships" r:embed="rId126" cstate="print"/>
        <a:stretch>
          <a:fillRect/>
        </a:stretch>
      </xdr:blipFill>
      <xdr:spPr>
        <a:prstGeom prst="rect">
          <a:avLst/>
        </a:prstGeom>
        <a:noFill/>
      </xdr:spPr>
    </xdr:pic>
    <xdr:clientData fLocksWithSheet="0"/>
  </xdr:oneCellAnchor>
  <xdr:oneCellAnchor>
    <xdr:from>
      <xdr:col>3</xdr:col>
      <xdr:colOff>0</xdr:colOff>
      <xdr:row>95</xdr:row>
      <xdr:rowOff>0</xdr:rowOff>
    </xdr:from>
    <xdr:ext cx="2609850" cy="2076450"/>
    <xdr:pic>
      <xdr:nvPicPr>
        <xdr:cNvPr id="130" name="image139.png">
          <a:extLst>
            <a:ext uri="{FF2B5EF4-FFF2-40B4-BE49-F238E27FC236}">
              <a16:creationId xmlns:a16="http://schemas.microsoft.com/office/drawing/2014/main" id="{00000000-0008-0000-0200-000082000000}"/>
            </a:ext>
          </a:extLst>
        </xdr:cNvPr>
        <xdr:cNvPicPr preferRelativeResize="0"/>
      </xdr:nvPicPr>
      <xdr:blipFill>
        <a:blip xmlns:r="http://schemas.openxmlformats.org/officeDocument/2006/relationships" r:embed="rId127" cstate="print"/>
        <a:stretch>
          <a:fillRect/>
        </a:stretch>
      </xdr:blipFill>
      <xdr:spPr>
        <a:prstGeom prst="rect">
          <a:avLst/>
        </a:prstGeom>
        <a:noFill/>
      </xdr:spPr>
    </xdr:pic>
    <xdr:clientData fLocksWithSheet="0"/>
  </xdr:oneCellAnchor>
  <xdr:oneCellAnchor>
    <xdr:from>
      <xdr:col>2</xdr:col>
      <xdr:colOff>0</xdr:colOff>
      <xdr:row>96</xdr:row>
      <xdr:rowOff>0</xdr:rowOff>
    </xdr:from>
    <xdr:ext cx="2438400" cy="2085975"/>
    <xdr:pic>
      <xdr:nvPicPr>
        <xdr:cNvPr id="131" name="image109.png">
          <a:extLst>
            <a:ext uri="{FF2B5EF4-FFF2-40B4-BE49-F238E27FC236}">
              <a16:creationId xmlns:a16="http://schemas.microsoft.com/office/drawing/2014/main" id="{00000000-0008-0000-0200-000083000000}"/>
            </a:ext>
          </a:extLst>
        </xdr:cNvPr>
        <xdr:cNvPicPr preferRelativeResize="0"/>
      </xdr:nvPicPr>
      <xdr:blipFill>
        <a:blip xmlns:r="http://schemas.openxmlformats.org/officeDocument/2006/relationships" r:embed="rId25" cstate="print"/>
        <a:stretch>
          <a:fillRect/>
        </a:stretch>
      </xdr:blipFill>
      <xdr:spPr>
        <a:prstGeom prst="rect">
          <a:avLst/>
        </a:prstGeom>
        <a:noFill/>
      </xdr:spPr>
    </xdr:pic>
    <xdr:clientData fLocksWithSheet="0"/>
  </xdr:oneCellAnchor>
  <xdr:oneCellAnchor>
    <xdr:from>
      <xdr:col>3</xdr:col>
      <xdr:colOff>0</xdr:colOff>
      <xdr:row>96</xdr:row>
      <xdr:rowOff>0</xdr:rowOff>
    </xdr:from>
    <xdr:ext cx="2733675" cy="2085975"/>
    <xdr:pic>
      <xdr:nvPicPr>
        <xdr:cNvPr id="132" name="image131.png">
          <a:extLst>
            <a:ext uri="{FF2B5EF4-FFF2-40B4-BE49-F238E27FC236}">
              <a16:creationId xmlns:a16="http://schemas.microsoft.com/office/drawing/2014/main" id="{00000000-0008-0000-0200-000084000000}"/>
            </a:ext>
          </a:extLst>
        </xdr:cNvPr>
        <xdr:cNvPicPr preferRelativeResize="0"/>
      </xdr:nvPicPr>
      <xdr:blipFill>
        <a:blip xmlns:r="http://schemas.openxmlformats.org/officeDocument/2006/relationships" r:embed="rId128" cstate="print"/>
        <a:stretch>
          <a:fillRect/>
        </a:stretch>
      </xdr:blipFill>
      <xdr:spPr>
        <a:prstGeom prst="rect">
          <a:avLst/>
        </a:prstGeom>
        <a:noFill/>
      </xdr:spPr>
    </xdr:pic>
    <xdr:clientData fLocksWithSheet="0"/>
  </xdr:oneCellAnchor>
  <xdr:oneCellAnchor>
    <xdr:from>
      <xdr:col>2</xdr:col>
      <xdr:colOff>0</xdr:colOff>
      <xdr:row>97</xdr:row>
      <xdr:rowOff>0</xdr:rowOff>
    </xdr:from>
    <xdr:ext cx="2152650" cy="2085975"/>
    <xdr:pic>
      <xdr:nvPicPr>
        <xdr:cNvPr id="133" name="image122.png">
          <a:extLst>
            <a:ext uri="{FF2B5EF4-FFF2-40B4-BE49-F238E27FC236}">
              <a16:creationId xmlns:a16="http://schemas.microsoft.com/office/drawing/2014/main" id="{00000000-0008-0000-0200-000085000000}"/>
            </a:ext>
          </a:extLst>
        </xdr:cNvPr>
        <xdr:cNvPicPr preferRelativeResize="0"/>
      </xdr:nvPicPr>
      <xdr:blipFill>
        <a:blip xmlns:r="http://schemas.openxmlformats.org/officeDocument/2006/relationships" r:embed="rId129" cstate="print"/>
        <a:stretch>
          <a:fillRect/>
        </a:stretch>
      </xdr:blipFill>
      <xdr:spPr>
        <a:prstGeom prst="rect">
          <a:avLst/>
        </a:prstGeom>
        <a:noFill/>
      </xdr:spPr>
    </xdr:pic>
    <xdr:clientData fLocksWithSheet="0"/>
  </xdr:oneCellAnchor>
  <xdr:oneCellAnchor>
    <xdr:from>
      <xdr:col>2</xdr:col>
      <xdr:colOff>0</xdr:colOff>
      <xdr:row>98</xdr:row>
      <xdr:rowOff>0</xdr:rowOff>
    </xdr:from>
    <xdr:ext cx="1562100" cy="2085975"/>
    <xdr:pic>
      <xdr:nvPicPr>
        <xdr:cNvPr id="134" name="image129.jpg">
          <a:extLst>
            <a:ext uri="{FF2B5EF4-FFF2-40B4-BE49-F238E27FC236}">
              <a16:creationId xmlns:a16="http://schemas.microsoft.com/office/drawing/2014/main" id="{00000000-0008-0000-0200-000086000000}"/>
            </a:ext>
          </a:extLst>
        </xdr:cNvPr>
        <xdr:cNvPicPr preferRelativeResize="0"/>
      </xdr:nvPicPr>
      <xdr:blipFill>
        <a:blip xmlns:r="http://schemas.openxmlformats.org/officeDocument/2006/relationships" r:embed="rId130" cstate="print"/>
        <a:stretch>
          <a:fillRect/>
        </a:stretch>
      </xdr:blipFill>
      <xdr:spPr>
        <a:prstGeom prst="rect">
          <a:avLst/>
        </a:prstGeom>
        <a:noFill/>
      </xdr:spPr>
    </xdr:pic>
    <xdr:clientData fLocksWithSheet="0"/>
  </xdr:oneCellAnchor>
  <xdr:oneCellAnchor>
    <xdr:from>
      <xdr:col>2</xdr:col>
      <xdr:colOff>0</xdr:colOff>
      <xdr:row>99</xdr:row>
      <xdr:rowOff>0</xdr:rowOff>
    </xdr:from>
    <xdr:ext cx="2047875" cy="2085975"/>
    <xdr:pic>
      <xdr:nvPicPr>
        <xdr:cNvPr id="135" name="image130.png">
          <a:extLst>
            <a:ext uri="{FF2B5EF4-FFF2-40B4-BE49-F238E27FC236}">
              <a16:creationId xmlns:a16="http://schemas.microsoft.com/office/drawing/2014/main" id="{00000000-0008-0000-0200-000087000000}"/>
            </a:ext>
          </a:extLst>
        </xdr:cNvPr>
        <xdr:cNvPicPr preferRelativeResize="0"/>
      </xdr:nvPicPr>
      <xdr:blipFill>
        <a:blip xmlns:r="http://schemas.openxmlformats.org/officeDocument/2006/relationships" r:embed="rId131" cstate="print"/>
        <a:stretch>
          <a:fillRect/>
        </a:stretch>
      </xdr:blipFill>
      <xdr:spPr>
        <a:prstGeom prst="rect">
          <a:avLst/>
        </a:prstGeom>
        <a:noFill/>
      </xdr:spPr>
    </xdr:pic>
    <xdr:clientData fLocksWithSheet="0"/>
  </xdr:oneCellAnchor>
  <xdr:oneCellAnchor>
    <xdr:from>
      <xdr:col>3</xdr:col>
      <xdr:colOff>0</xdr:colOff>
      <xdr:row>99</xdr:row>
      <xdr:rowOff>0</xdr:rowOff>
    </xdr:from>
    <xdr:ext cx="2486025" cy="2085975"/>
    <xdr:pic>
      <xdr:nvPicPr>
        <xdr:cNvPr id="136" name="image132.png">
          <a:extLst>
            <a:ext uri="{FF2B5EF4-FFF2-40B4-BE49-F238E27FC236}">
              <a16:creationId xmlns:a16="http://schemas.microsoft.com/office/drawing/2014/main" id="{00000000-0008-0000-0200-000088000000}"/>
            </a:ext>
          </a:extLst>
        </xdr:cNvPr>
        <xdr:cNvPicPr preferRelativeResize="0"/>
      </xdr:nvPicPr>
      <xdr:blipFill>
        <a:blip xmlns:r="http://schemas.openxmlformats.org/officeDocument/2006/relationships" r:embed="rId132" cstate="print"/>
        <a:stretch>
          <a:fillRect/>
        </a:stretch>
      </xdr:blipFill>
      <xdr:spPr>
        <a:prstGeom prst="rect">
          <a:avLst/>
        </a:prstGeom>
        <a:noFill/>
      </xdr:spPr>
    </xdr:pic>
    <xdr:clientData fLocksWithSheet="0"/>
  </xdr:oneCellAnchor>
  <xdr:oneCellAnchor>
    <xdr:from>
      <xdr:col>2</xdr:col>
      <xdr:colOff>0</xdr:colOff>
      <xdr:row>100</xdr:row>
      <xdr:rowOff>0</xdr:rowOff>
    </xdr:from>
    <xdr:ext cx="2495550" cy="2085975"/>
    <xdr:pic>
      <xdr:nvPicPr>
        <xdr:cNvPr id="137" name="image124.jpg">
          <a:extLst>
            <a:ext uri="{FF2B5EF4-FFF2-40B4-BE49-F238E27FC236}">
              <a16:creationId xmlns:a16="http://schemas.microsoft.com/office/drawing/2014/main" id="{00000000-0008-0000-0200-000089000000}"/>
            </a:ext>
          </a:extLst>
        </xdr:cNvPr>
        <xdr:cNvPicPr preferRelativeResize="0"/>
      </xdr:nvPicPr>
      <xdr:blipFill>
        <a:blip xmlns:r="http://schemas.openxmlformats.org/officeDocument/2006/relationships" r:embed="rId133" cstate="print"/>
        <a:stretch>
          <a:fillRect/>
        </a:stretch>
      </xdr:blipFill>
      <xdr:spPr>
        <a:prstGeom prst="rect">
          <a:avLst/>
        </a:prstGeom>
        <a:noFill/>
      </xdr:spPr>
    </xdr:pic>
    <xdr:clientData fLocksWithSheet="0"/>
  </xdr:oneCellAnchor>
  <xdr:oneCellAnchor>
    <xdr:from>
      <xdr:col>3</xdr:col>
      <xdr:colOff>0</xdr:colOff>
      <xdr:row>100</xdr:row>
      <xdr:rowOff>0</xdr:rowOff>
    </xdr:from>
    <xdr:ext cx="3152775" cy="1190625"/>
    <xdr:pic>
      <xdr:nvPicPr>
        <xdr:cNvPr id="138" name="image135.png">
          <a:extLst>
            <a:ext uri="{FF2B5EF4-FFF2-40B4-BE49-F238E27FC236}">
              <a16:creationId xmlns:a16="http://schemas.microsoft.com/office/drawing/2014/main" id="{00000000-0008-0000-0200-00008A000000}"/>
            </a:ext>
          </a:extLst>
        </xdr:cNvPr>
        <xdr:cNvPicPr preferRelativeResize="0"/>
      </xdr:nvPicPr>
      <xdr:blipFill>
        <a:blip xmlns:r="http://schemas.openxmlformats.org/officeDocument/2006/relationships" r:embed="rId134" cstate="print"/>
        <a:stretch>
          <a:fillRect/>
        </a:stretch>
      </xdr:blipFill>
      <xdr:spPr>
        <a:prstGeom prst="rect">
          <a:avLst/>
        </a:prstGeom>
        <a:noFill/>
      </xdr:spPr>
    </xdr:pic>
    <xdr:clientData fLocksWithSheet="0"/>
  </xdr:oneCellAnchor>
  <xdr:oneCellAnchor>
    <xdr:from>
      <xdr:col>2</xdr:col>
      <xdr:colOff>0</xdr:colOff>
      <xdr:row>101</xdr:row>
      <xdr:rowOff>0</xdr:rowOff>
    </xdr:from>
    <xdr:ext cx="2247900" cy="2085975"/>
    <xdr:pic>
      <xdr:nvPicPr>
        <xdr:cNvPr id="139" name="image126.png">
          <a:extLst>
            <a:ext uri="{FF2B5EF4-FFF2-40B4-BE49-F238E27FC236}">
              <a16:creationId xmlns:a16="http://schemas.microsoft.com/office/drawing/2014/main" id="{00000000-0008-0000-0200-00008B000000}"/>
            </a:ext>
          </a:extLst>
        </xdr:cNvPr>
        <xdr:cNvPicPr preferRelativeResize="0"/>
      </xdr:nvPicPr>
      <xdr:blipFill>
        <a:blip xmlns:r="http://schemas.openxmlformats.org/officeDocument/2006/relationships" r:embed="rId135" cstate="print"/>
        <a:stretch>
          <a:fillRect/>
        </a:stretch>
      </xdr:blipFill>
      <xdr:spPr>
        <a:prstGeom prst="rect">
          <a:avLst/>
        </a:prstGeom>
        <a:noFill/>
      </xdr:spPr>
    </xdr:pic>
    <xdr:clientData fLocksWithSheet="0"/>
  </xdr:oneCellAnchor>
  <xdr:oneCellAnchor>
    <xdr:from>
      <xdr:col>3</xdr:col>
      <xdr:colOff>0</xdr:colOff>
      <xdr:row>101</xdr:row>
      <xdr:rowOff>0</xdr:rowOff>
    </xdr:from>
    <xdr:ext cx="3152775" cy="1771650"/>
    <xdr:pic>
      <xdr:nvPicPr>
        <xdr:cNvPr id="140" name="image134.jpg">
          <a:extLst>
            <a:ext uri="{FF2B5EF4-FFF2-40B4-BE49-F238E27FC236}">
              <a16:creationId xmlns:a16="http://schemas.microsoft.com/office/drawing/2014/main" id="{00000000-0008-0000-0200-00008C000000}"/>
            </a:ext>
          </a:extLst>
        </xdr:cNvPr>
        <xdr:cNvPicPr preferRelativeResize="0"/>
      </xdr:nvPicPr>
      <xdr:blipFill>
        <a:blip xmlns:r="http://schemas.openxmlformats.org/officeDocument/2006/relationships" r:embed="rId136" cstate="print"/>
        <a:stretch>
          <a:fillRect/>
        </a:stretch>
      </xdr:blipFill>
      <xdr:spPr>
        <a:prstGeom prst="rect">
          <a:avLst/>
        </a:prstGeom>
        <a:noFill/>
      </xdr:spPr>
    </xdr:pic>
    <xdr:clientData fLocksWithSheet="0"/>
  </xdr:oneCellAnchor>
  <xdr:oneCellAnchor>
    <xdr:from>
      <xdr:col>2</xdr:col>
      <xdr:colOff>0</xdr:colOff>
      <xdr:row>102</xdr:row>
      <xdr:rowOff>0</xdr:rowOff>
    </xdr:from>
    <xdr:ext cx="2209800" cy="2085975"/>
    <xdr:pic>
      <xdr:nvPicPr>
        <xdr:cNvPr id="141" name="image145.png">
          <a:extLst>
            <a:ext uri="{FF2B5EF4-FFF2-40B4-BE49-F238E27FC236}">
              <a16:creationId xmlns:a16="http://schemas.microsoft.com/office/drawing/2014/main" id="{00000000-0008-0000-0200-00008D000000}"/>
            </a:ext>
          </a:extLst>
        </xdr:cNvPr>
        <xdr:cNvPicPr preferRelativeResize="0"/>
      </xdr:nvPicPr>
      <xdr:blipFill>
        <a:blip xmlns:r="http://schemas.openxmlformats.org/officeDocument/2006/relationships" r:embed="rId137" cstate="print"/>
        <a:stretch>
          <a:fillRect/>
        </a:stretch>
      </xdr:blipFill>
      <xdr:spPr>
        <a:prstGeom prst="rect">
          <a:avLst/>
        </a:prstGeom>
        <a:noFill/>
      </xdr:spPr>
    </xdr:pic>
    <xdr:clientData fLocksWithSheet="0"/>
  </xdr:oneCellAnchor>
  <xdr:oneCellAnchor>
    <xdr:from>
      <xdr:col>3</xdr:col>
      <xdr:colOff>0</xdr:colOff>
      <xdr:row>102</xdr:row>
      <xdr:rowOff>0</xdr:rowOff>
    </xdr:from>
    <xdr:ext cx="2133600" cy="2085975"/>
    <xdr:pic>
      <xdr:nvPicPr>
        <xdr:cNvPr id="142" name="image133.png">
          <a:extLst>
            <a:ext uri="{FF2B5EF4-FFF2-40B4-BE49-F238E27FC236}">
              <a16:creationId xmlns:a16="http://schemas.microsoft.com/office/drawing/2014/main" id="{00000000-0008-0000-0200-00008E000000}"/>
            </a:ext>
          </a:extLst>
        </xdr:cNvPr>
        <xdr:cNvPicPr preferRelativeResize="0"/>
      </xdr:nvPicPr>
      <xdr:blipFill>
        <a:blip xmlns:r="http://schemas.openxmlformats.org/officeDocument/2006/relationships" r:embed="rId138" cstate="print"/>
        <a:stretch>
          <a:fillRect/>
        </a:stretch>
      </xdr:blipFill>
      <xdr:spPr>
        <a:prstGeom prst="rect">
          <a:avLst/>
        </a:prstGeom>
        <a:noFill/>
      </xdr:spPr>
    </xdr:pic>
    <xdr:clientData fLocksWithSheet="0"/>
  </xdr:oneCellAnchor>
  <xdr:oneCellAnchor>
    <xdr:from>
      <xdr:col>2</xdr:col>
      <xdr:colOff>0</xdr:colOff>
      <xdr:row>103</xdr:row>
      <xdr:rowOff>0</xdr:rowOff>
    </xdr:from>
    <xdr:ext cx="2466975" cy="2085975"/>
    <xdr:pic>
      <xdr:nvPicPr>
        <xdr:cNvPr id="143" name="image138.png">
          <a:extLst>
            <a:ext uri="{FF2B5EF4-FFF2-40B4-BE49-F238E27FC236}">
              <a16:creationId xmlns:a16="http://schemas.microsoft.com/office/drawing/2014/main" id="{00000000-0008-0000-0200-00008F000000}"/>
            </a:ext>
          </a:extLst>
        </xdr:cNvPr>
        <xdr:cNvPicPr preferRelativeResize="0"/>
      </xdr:nvPicPr>
      <xdr:blipFill>
        <a:blip xmlns:r="http://schemas.openxmlformats.org/officeDocument/2006/relationships" r:embed="rId139" cstate="print"/>
        <a:stretch>
          <a:fillRect/>
        </a:stretch>
      </xdr:blipFill>
      <xdr:spPr>
        <a:prstGeom prst="rect">
          <a:avLst/>
        </a:prstGeom>
        <a:noFill/>
      </xdr:spPr>
    </xdr:pic>
    <xdr:clientData fLocksWithSheet="0"/>
  </xdr:oneCellAnchor>
  <xdr:oneCellAnchor>
    <xdr:from>
      <xdr:col>3</xdr:col>
      <xdr:colOff>0</xdr:colOff>
      <xdr:row>103</xdr:row>
      <xdr:rowOff>0</xdr:rowOff>
    </xdr:from>
    <xdr:ext cx="2819400" cy="2085975"/>
    <xdr:pic>
      <xdr:nvPicPr>
        <xdr:cNvPr id="144" name="image137.png" title="Imagen">
          <a:extLst>
            <a:ext uri="{FF2B5EF4-FFF2-40B4-BE49-F238E27FC236}">
              <a16:creationId xmlns:a16="http://schemas.microsoft.com/office/drawing/2014/main" id="{00000000-0008-0000-0200-000090000000}"/>
            </a:ext>
          </a:extLst>
        </xdr:cNvPr>
        <xdr:cNvPicPr preferRelativeResize="0"/>
      </xdr:nvPicPr>
      <xdr:blipFill>
        <a:blip xmlns:r="http://schemas.openxmlformats.org/officeDocument/2006/relationships" r:embed="rId140" cstate="print"/>
        <a:stretch>
          <a:fillRect/>
        </a:stretch>
      </xdr:blipFill>
      <xdr:spPr>
        <a:prstGeom prst="rect">
          <a:avLst/>
        </a:prstGeom>
        <a:noFill/>
      </xdr:spPr>
    </xdr:pic>
    <xdr:clientData fLocksWithSheet="0"/>
  </xdr:oneCellAnchor>
  <xdr:oneCellAnchor>
    <xdr:from>
      <xdr:col>2</xdr:col>
      <xdr:colOff>0</xdr:colOff>
      <xdr:row>104</xdr:row>
      <xdr:rowOff>0</xdr:rowOff>
    </xdr:from>
    <xdr:ext cx="2162175" cy="2085975"/>
    <xdr:pic>
      <xdr:nvPicPr>
        <xdr:cNvPr id="145" name="image140.png">
          <a:extLst>
            <a:ext uri="{FF2B5EF4-FFF2-40B4-BE49-F238E27FC236}">
              <a16:creationId xmlns:a16="http://schemas.microsoft.com/office/drawing/2014/main" id="{00000000-0008-0000-0200-000091000000}"/>
            </a:ext>
          </a:extLst>
        </xdr:cNvPr>
        <xdr:cNvPicPr preferRelativeResize="0"/>
      </xdr:nvPicPr>
      <xdr:blipFill>
        <a:blip xmlns:r="http://schemas.openxmlformats.org/officeDocument/2006/relationships" r:embed="rId141" cstate="print"/>
        <a:stretch>
          <a:fillRect/>
        </a:stretch>
      </xdr:blipFill>
      <xdr:spPr>
        <a:prstGeom prst="rect">
          <a:avLst/>
        </a:prstGeom>
        <a:noFill/>
      </xdr:spPr>
    </xdr:pic>
    <xdr:clientData fLocksWithSheet="0"/>
  </xdr:oneCellAnchor>
  <xdr:oneCellAnchor>
    <xdr:from>
      <xdr:col>3</xdr:col>
      <xdr:colOff>0</xdr:colOff>
      <xdr:row>104</xdr:row>
      <xdr:rowOff>0</xdr:rowOff>
    </xdr:from>
    <xdr:ext cx="2943225" cy="2085975"/>
    <xdr:pic>
      <xdr:nvPicPr>
        <xdr:cNvPr id="146" name="image143.png">
          <a:extLst>
            <a:ext uri="{FF2B5EF4-FFF2-40B4-BE49-F238E27FC236}">
              <a16:creationId xmlns:a16="http://schemas.microsoft.com/office/drawing/2014/main" id="{00000000-0008-0000-0200-000092000000}"/>
            </a:ext>
          </a:extLst>
        </xdr:cNvPr>
        <xdr:cNvPicPr preferRelativeResize="0"/>
      </xdr:nvPicPr>
      <xdr:blipFill>
        <a:blip xmlns:r="http://schemas.openxmlformats.org/officeDocument/2006/relationships" r:embed="rId142" cstate="print"/>
        <a:stretch>
          <a:fillRect/>
        </a:stretch>
      </xdr:blipFill>
      <xdr:spPr>
        <a:prstGeom prst="rect">
          <a:avLst/>
        </a:prstGeom>
        <a:noFill/>
      </xdr:spPr>
    </xdr:pic>
    <xdr:clientData fLocksWithSheet="0"/>
  </xdr:oneCellAnchor>
  <xdr:oneCellAnchor>
    <xdr:from>
      <xdr:col>2</xdr:col>
      <xdr:colOff>0</xdr:colOff>
      <xdr:row>105</xdr:row>
      <xdr:rowOff>0</xdr:rowOff>
    </xdr:from>
    <xdr:ext cx="3400425" cy="2085975"/>
    <xdr:pic>
      <xdr:nvPicPr>
        <xdr:cNvPr id="147" name="image152.png">
          <a:extLst>
            <a:ext uri="{FF2B5EF4-FFF2-40B4-BE49-F238E27FC236}">
              <a16:creationId xmlns:a16="http://schemas.microsoft.com/office/drawing/2014/main" id="{00000000-0008-0000-0200-000093000000}"/>
            </a:ext>
          </a:extLst>
        </xdr:cNvPr>
        <xdr:cNvPicPr preferRelativeResize="0"/>
      </xdr:nvPicPr>
      <xdr:blipFill>
        <a:blip xmlns:r="http://schemas.openxmlformats.org/officeDocument/2006/relationships" r:embed="rId143" cstate="print"/>
        <a:stretch>
          <a:fillRect/>
        </a:stretch>
      </xdr:blipFill>
      <xdr:spPr>
        <a:prstGeom prst="rect">
          <a:avLst/>
        </a:prstGeom>
        <a:noFill/>
      </xdr:spPr>
    </xdr:pic>
    <xdr:clientData fLocksWithSheet="0"/>
  </xdr:oneCellAnchor>
  <xdr:oneCellAnchor>
    <xdr:from>
      <xdr:col>3</xdr:col>
      <xdr:colOff>0</xdr:colOff>
      <xdr:row>105</xdr:row>
      <xdr:rowOff>0</xdr:rowOff>
    </xdr:from>
    <xdr:ext cx="2990850" cy="2085975"/>
    <xdr:pic>
      <xdr:nvPicPr>
        <xdr:cNvPr id="148" name="image127.jpg">
          <a:extLst>
            <a:ext uri="{FF2B5EF4-FFF2-40B4-BE49-F238E27FC236}">
              <a16:creationId xmlns:a16="http://schemas.microsoft.com/office/drawing/2014/main" id="{00000000-0008-0000-0200-000094000000}"/>
            </a:ext>
          </a:extLst>
        </xdr:cNvPr>
        <xdr:cNvPicPr preferRelativeResize="0"/>
      </xdr:nvPicPr>
      <xdr:blipFill>
        <a:blip xmlns:r="http://schemas.openxmlformats.org/officeDocument/2006/relationships" r:embed="rId144" cstate="print"/>
        <a:stretch>
          <a:fillRect/>
        </a:stretch>
      </xdr:blipFill>
      <xdr:spPr>
        <a:prstGeom prst="rect">
          <a:avLst/>
        </a:prstGeom>
        <a:noFill/>
      </xdr:spPr>
    </xdr:pic>
    <xdr:clientData fLocksWithSheet="0"/>
  </xdr:oneCellAnchor>
  <xdr:oneCellAnchor>
    <xdr:from>
      <xdr:col>2</xdr:col>
      <xdr:colOff>0</xdr:colOff>
      <xdr:row>106</xdr:row>
      <xdr:rowOff>0</xdr:rowOff>
    </xdr:from>
    <xdr:ext cx="2466975" cy="2085975"/>
    <xdr:pic>
      <xdr:nvPicPr>
        <xdr:cNvPr id="149" name="image144.png">
          <a:extLst>
            <a:ext uri="{FF2B5EF4-FFF2-40B4-BE49-F238E27FC236}">
              <a16:creationId xmlns:a16="http://schemas.microsoft.com/office/drawing/2014/main" id="{00000000-0008-0000-0200-000095000000}"/>
            </a:ext>
          </a:extLst>
        </xdr:cNvPr>
        <xdr:cNvPicPr preferRelativeResize="0"/>
      </xdr:nvPicPr>
      <xdr:blipFill>
        <a:blip xmlns:r="http://schemas.openxmlformats.org/officeDocument/2006/relationships" r:embed="rId145" cstate="print"/>
        <a:stretch>
          <a:fillRect/>
        </a:stretch>
      </xdr:blipFill>
      <xdr:spPr>
        <a:prstGeom prst="rect">
          <a:avLst/>
        </a:prstGeom>
        <a:noFill/>
      </xdr:spPr>
    </xdr:pic>
    <xdr:clientData fLocksWithSheet="0"/>
  </xdr:oneCellAnchor>
  <xdr:oneCellAnchor>
    <xdr:from>
      <xdr:col>3</xdr:col>
      <xdr:colOff>0</xdr:colOff>
      <xdr:row>106</xdr:row>
      <xdr:rowOff>0</xdr:rowOff>
    </xdr:from>
    <xdr:ext cx="3152775" cy="1762125"/>
    <xdr:pic>
      <xdr:nvPicPr>
        <xdr:cNvPr id="150" name="image142.png" title="Imagen">
          <a:extLst>
            <a:ext uri="{FF2B5EF4-FFF2-40B4-BE49-F238E27FC236}">
              <a16:creationId xmlns:a16="http://schemas.microsoft.com/office/drawing/2014/main" id="{00000000-0008-0000-0200-000096000000}"/>
            </a:ext>
          </a:extLst>
        </xdr:cNvPr>
        <xdr:cNvPicPr preferRelativeResize="0"/>
      </xdr:nvPicPr>
      <xdr:blipFill>
        <a:blip xmlns:r="http://schemas.openxmlformats.org/officeDocument/2006/relationships" r:embed="rId146" cstate="print"/>
        <a:stretch>
          <a:fillRect/>
        </a:stretch>
      </xdr:blipFill>
      <xdr:spPr>
        <a:prstGeom prst="rect">
          <a:avLst/>
        </a:prstGeom>
        <a:noFill/>
      </xdr:spPr>
    </xdr:pic>
    <xdr:clientData fLocksWithSheet="0"/>
  </xdr:oneCellAnchor>
  <xdr:oneCellAnchor>
    <xdr:from>
      <xdr:col>2</xdr:col>
      <xdr:colOff>0</xdr:colOff>
      <xdr:row>107</xdr:row>
      <xdr:rowOff>0</xdr:rowOff>
    </xdr:from>
    <xdr:ext cx="2190750" cy="2085975"/>
    <xdr:pic>
      <xdr:nvPicPr>
        <xdr:cNvPr id="151" name="image148.jpg">
          <a:extLst>
            <a:ext uri="{FF2B5EF4-FFF2-40B4-BE49-F238E27FC236}">
              <a16:creationId xmlns:a16="http://schemas.microsoft.com/office/drawing/2014/main" id="{00000000-0008-0000-0200-000097000000}"/>
            </a:ext>
          </a:extLst>
        </xdr:cNvPr>
        <xdr:cNvPicPr preferRelativeResize="0"/>
      </xdr:nvPicPr>
      <xdr:blipFill>
        <a:blip xmlns:r="http://schemas.openxmlformats.org/officeDocument/2006/relationships" r:embed="rId147" cstate="print"/>
        <a:stretch>
          <a:fillRect/>
        </a:stretch>
      </xdr:blipFill>
      <xdr:spPr>
        <a:prstGeom prst="rect">
          <a:avLst/>
        </a:prstGeom>
        <a:noFill/>
      </xdr:spPr>
    </xdr:pic>
    <xdr:clientData fLocksWithSheet="0"/>
  </xdr:oneCellAnchor>
  <xdr:oneCellAnchor>
    <xdr:from>
      <xdr:col>3</xdr:col>
      <xdr:colOff>0</xdr:colOff>
      <xdr:row>107</xdr:row>
      <xdr:rowOff>0</xdr:rowOff>
    </xdr:from>
    <xdr:ext cx="3152775" cy="1847850"/>
    <xdr:pic>
      <xdr:nvPicPr>
        <xdr:cNvPr id="152" name="image136.png" title="Imagen">
          <a:extLst>
            <a:ext uri="{FF2B5EF4-FFF2-40B4-BE49-F238E27FC236}">
              <a16:creationId xmlns:a16="http://schemas.microsoft.com/office/drawing/2014/main" id="{00000000-0008-0000-0200-000098000000}"/>
            </a:ext>
          </a:extLst>
        </xdr:cNvPr>
        <xdr:cNvPicPr preferRelativeResize="0"/>
      </xdr:nvPicPr>
      <xdr:blipFill>
        <a:blip xmlns:r="http://schemas.openxmlformats.org/officeDocument/2006/relationships" r:embed="rId148" cstate="print"/>
        <a:stretch>
          <a:fillRect/>
        </a:stretch>
      </xdr:blipFill>
      <xdr:spPr>
        <a:prstGeom prst="rect">
          <a:avLst/>
        </a:prstGeom>
        <a:noFill/>
      </xdr:spPr>
    </xdr:pic>
    <xdr:clientData fLocksWithSheet="0"/>
  </xdr:oneCellAnchor>
  <xdr:oneCellAnchor>
    <xdr:from>
      <xdr:col>2</xdr:col>
      <xdr:colOff>0</xdr:colOff>
      <xdr:row>108</xdr:row>
      <xdr:rowOff>0</xdr:rowOff>
    </xdr:from>
    <xdr:ext cx="3600450" cy="2019300"/>
    <xdr:pic>
      <xdr:nvPicPr>
        <xdr:cNvPr id="153" name="image153.jpg">
          <a:extLst>
            <a:ext uri="{FF2B5EF4-FFF2-40B4-BE49-F238E27FC236}">
              <a16:creationId xmlns:a16="http://schemas.microsoft.com/office/drawing/2014/main" id="{00000000-0008-0000-0200-000099000000}"/>
            </a:ext>
          </a:extLst>
        </xdr:cNvPr>
        <xdr:cNvPicPr preferRelativeResize="0"/>
      </xdr:nvPicPr>
      <xdr:blipFill>
        <a:blip xmlns:r="http://schemas.openxmlformats.org/officeDocument/2006/relationships" r:embed="rId149" cstate="print"/>
        <a:stretch>
          <a:fillRect/>
        </a:stretch>
      </xdr:blipFill>
      <xdr:spPr>
        <a:prstGeom prst="rect">
          <a:avLst/>
        </a:prstGeom>
        <a:noFill/>
      </xdr:spPr>
    </xdr:pic>
    <xdr:clientData fLocksWithSheet="0"/>
  </xdr:oneCellAnchor>
  <xdr:oneCellAnchor>
    <xdr:from>
      <xdr:col>3</xdr:col>
      <xdr:colOff>0</xdr:colOff>
      <xdr:row>108</xdr:row>
      <xdr:rowOff>0</xdr:rowOff>
    </xdr:from>
    <xdr:ext cx="1171575" cy="2085975"/>
    <xdr:pic>
      <xdr:nvPicPr>
        <xdr:cNvPr id="154" name="image165.jpg">
          <a:extLst>
            <a:ext uri="{FF2B5EF4-FFF2-40B4-BE49-F238E27FC236}">
              <a16:creationId xmlns:a16="http://schemas.microsoft.com/office/drawing/2014/main" id="{00000000-0008-0000-0200-00009A000000}"/>
            </a:ext>
          </a:extLst>
        </xdr:cNvPr>
        <xdr:cNvPicPr preferRelativeResize="0"/>
      </xdr:nvPicPr>
      <xdr:blipFill>
        <a:blip xmlns:r="http://schemas.openxmlformats.org/officeDocument/2006/relationships" r:embed="rId150" cstate="print"/>
        <a:stretch>
          <a:fillRect/>
        </a:stretch>
      </xdr:blipFill>
      <xdr:spPr>
        <a:prstGeom prst="rect">
          <a:avLst/>
        </a:prstGeom>
        <a:noFill/>
      </xdr:spPr>
    </xdr:pic>
    <xdr:clientData fLocksWithSheet="0"/>
  </xdr:oneCellAnchor>
  <xdr:oneCellAnchor>
    <xdr:from>
      <xdr:col>2</xdr:col>
      <xdr:colOff>0</xdr:colOff>
      <xdr:row>109</xdr:row>
      <xdr:rowOff>0</xdr:rowOff>
    </xdr:from>
    <xdr:ext cx="1933575" cy="2076450"/>
    <xdr:pic>
      <xdr:nvPicPr>
        <xdr:cNvPr id="155" name="image154.png">
          <a:extLst>
            <a:ext uri="{FF2B5EF4-FFF2-40B4-BE49-F238E27FC236}">
              <a16:creationId xmlns:a16="http://schemas.microsoft.com/office/drawing/2014/main" id="{00000000-0008-0000-0200-00009B000000}"/>
            </a:ext>
          </a:extLst>
        </xdr:cNvPr>
        <xdr:cNvPicPr preferRelativeResize="0"/>
      </xdr:nvPicPr>
      <xdr:blipFill>
        <a:blip xmlns:r="http://schemas.openxmlformats.org/officeDocument/2006/relationships" r:embed="rId151" cstate="print"/>
        <a:stretch>
          <a:fillRect/>
        </a:stretch>
      </xdr:blipFill>
      <xdr:spPr>
        <a:prstGeom prst="rect">
          <a:avLst/>
        </a:prstGeom>
        <a:noFill/>
      </xdr:spPr>
    </xdr:pic>
    <xdr:clientData fLocksWithSheet="0"/>
  </xdr:oneCellAnchor>
  <xdr:oneCellAnchor>
    <xdr:from>
      <xdr:col>3</xdr:col>
      <xdr:colOff>0</xdr:colOff>
      <xdr:row>109</xdr:row>
      <xdr:rowOff>0</xdr:rowOff>
    </xdr:from>
    <xdr:ext cx="3152775" cy="1771650"/>
    <xdr:pic>
      <xdr:nvPicPr>
        <xdr:cNvPr id="156" name="image147.jpg">
          <a:extLst>
            <a:ext uri="{FF2B5EF4-FFF2-40B4-BE49-F238E27FC236}">
              <a16:creationId xmlns:a16="http://schemas.microsoft.com/office/drawing/2014/main" id="{00000000-0008-0000-0200-00009C000000}"/>
            </a:ext>
          </a:extLst>
        </xdr:cNvPr>
        <xdr:cNvPicPr preferRelativeResize="0"/>
      </xdr:nvPicPr>
      <xdr:blipFill>
        <a:blip xmlns:r="http://schemas.openxmlformats.org/officeDocument/2006/relationships" r:embed="rId152" cstate="print"/>
        <a:stretch>
          <a:fillRect/>
        </a:stretch>
      </xdr:blipFill>
      <xdr:spPr>
        <a:prstGeom prst="rect">
          <a:avLst/>
        </a:prstGeom>
        <a:noFill/>
      </xdr:spPr>
    </xdr:pic>
    <xdr:clientData fLocksWithSheet="0"/>
  </xdr:oneCellAnchor>
  <xdr:oneCellAnchor>
    <xdr:from>
      <xdr:col>2</xdr:col>
      <xdr:colOff>0</xdr:colOff>
      <xdr:row>110</xdr:row>
      <xdr:rowOff>0</xdr:rowOff>
    </xdr:from>
    <xdr:ext cx="2076450" cy="2085975"/>
    <xdr:pic>
      <xdr:nvPicPr>
        <xdr:cNvPr id="157" name="image169.png">
          <a:extLst>
            <a:ext uri="{FF2B5EF4-FFF2-40B4-BE49-F238E27FC236}">
              <a16:creationId xmlns:a16="http://schemas.microsoft.com/office/drawing/2014/main" id="{00000000-0008-0000-0200-00009D000000}"/>
            </a:ext>
          </a:extLst>
        </xdr:cNvPr>
        <xdr:cNvPicPr preferRelativeResize="0"/>
      </xdr:nvPicPr>
      <xdr:blipFill>
        <a:blip xmlns:r="http://schemas.openxmlformats.org/officeDocument/2006/relationships" r:embed="rId153" cstate="print"/>
        <a:stretch>
          <a:fillRect/>
        </a:stretch>
      </xdr:blipFill>
      <xdr:spPr>
        <a:prstGeom prst="rect">
          <a:avLst/>
        </a:prstGeom>
        <a:noFill/>
      </xdr:spPr>
    </xdr:pic>
    <xdr:clientData fLocksWithSheet="0"/>
  </xdr:oneCellAnchor>
  <xdr:oneCellAnchor>
    <xdr:from>
      <xdr:col>3</xdr:col>
      <xdr:colOff>0</xdr:colOff>
      <xdr:row>110</xdr:row>
      <xdr:rowOff>0</xdr:rowOff>
    </xdr:from>
    <xdr:ext cx="1695450" cy="2085975"/>
    <xdr:pic>
      <xdr:nvPicPr>
        <xdr:cNvPr id="158" name="image151.png">
          <a:extLst>
            <a:ext uri="{FF2B5EF4-FFF2-40B4-BE49-F238E27FC236}">
              <a16:creationId xmlns:a16="http://schemas.microsoft.com/office/drawing/2014/main" id="{00000000-0008-0000-0200-00009E000000}"/>
            </a:ext>
          </a:extLst>
        </xdr:cNvPr>
        <xdr:cNvPicPr preferRelativeResize="0"/>
      </xdr:nvPicPr>
      <xdr:blipFill>
        <a:blip xmlns:r="http://schemas.openxmlformats.org/officeDocument/2006/relationships" r:embed="rId154" cstate="print"/>
        <a:stretch>
          <a:fillRect/>
        </a:stretch>
      </xdr:blipFill>
      <xdr:spPr>
        <a:prstGeom prst="rect">
          <a:avLst/>
        </a:prstGeom>
        <a:noFill/>
      </xdr:spPr>
    </xdr:pic>
    <xdr:clientData fLocksWithSheet="0"/>
  </xdr:oneCellAnchor>
  <xdr:oneCellAnchor>
    <xdr:from>
      <xdr:col>2</xdr:col>
      <xdr:colOff>0</xdr:colOff>
      <xdr:row>111</xdr:row>
      <xdr:rowOff>0</xdr:rowOff>
    </xdr:from>
    <xdr:ext cx="2228850" cy="2085975"/>
    <xdr:pic>
      <xdr:nvPicPr>
        <xdr:cNvPr id="159" name="image163.png">
          <a:extLst>
            <a:ext uri="{FF2B5EF4-FFF2-40B4-BE49-F238E27FC236}">
              <a16:creationId xmlns:a16="http://schemas.microsoft.com/office/drawing/2014/main" id="{00000000-0008-0000-0200-00009F000000}"/>
            </a:ext>
          </a:extLst>
        </xdr:cNvPr>
        <xdr:cNvPicPr preferRelativeResize="0"/>
      </xdr:nvPicPr>
      <xdr:blipFill>
        <a:blip xmlns:r="http://schemas.openxmlformats.org/officeDocument/2006/relationships" r:embed="rId155" cstate="print"/>
        <a:stretch>
          <a:fillRect/>
        </a:stretch>
      </xdr:blipFill>
      <xdr:spPr>
        <a:prstGeom prst="rect">
          <a:avLst/>
        </a:prstGeom>
        <a:noFill/>
      </xdr:spPr>
    </xdr:pic>
    <xdr:clientData fLocksWithSheet="0"/>
  </xdr:oneCellAnchor>
  <xdr:oneCellAnchor>
    <xdr:from>
      <xdr:col>3</xdr:col>
      <xdr:colOff>0</xdr:colOff>
      <xdr:row>111</xdr:row>
      <xdr:rowOff>0</xdr:rowOff>
    </xdr:from>
    <xdr:ext cx="1352550" cy="2085975"/>
    <xdr:pic>
      <xdr:nvPicPr>
        <xdr:cNvPr id="160" name="image156.png">
          <a:extLst>
            <a:ext uri="{FF2B5EF4-FFF2-40B4-BE49-F238E27FC236}">
              <a16:creationId xmlns:a16="http://schemas.microsoft.com/office/drawing/2014/main" id="{00000000-0008-0000-0200-0000A0000000}"/>
            </a:ext>
          </a:extLst>
        </xdr:cNvPr>
        <xdr:cNvPicPr preferRelativeResize="0"/>
      </xdr:nvPicPr>
      <xdr:blipFill>
        <a:blip xmlns:r="http://schemas.openxmlformats.org/officeDocument/2006/relationships" r:embed="rId156" cstate="print"/>
        <a:stretch>
          <a:fillRect/>
        </a:stretch>
      </xdr:blipFill>
      <xdr:spPr>
        <a:prstGeom prst="rect">
          <a:avLst/>
        </a:prstGeom>
        <a:noFill/>
      </xdr:spPr>
    </xdr:pic>
    <xdr:clientData fLocksWithSheet="0"/>
  </xdr:oneCellAnchor>
  <xdr:oneCellAnchor>
    <xdr:from>
      <xdr:col>2</xdr:col>
      <xdr:colOff>0</xdr:colOff>
      <xdr:row>112</xdr:row>
      <xdr:rowOff>0</xdr:rowOff>
    </xdr:from>
    <xdr:ext cx="2381250" cy="2076450"/>
    <xdr:pic>
      <xdr:nvPicPr>
        <xdr:cNvPr id="161" name="image161.png">
          <a:extLst>
            <a:ext uri="{FF2B5EF4-FFF2-40B4-BE49-F238E27FC236}">
              <a16:creationId xmlns:a16="http://schemas.microsoft.com/office/drawing/2014/main" id="{00000000-0008-0000-0200-0000A1000000}"/>
            </a:ext>
          </a:extLst>
        </xdr:cNvPr>
        <xdr:cNvPicPr preferRelativeResize="0"/>
      </xdr:nvPicPr>
      <xdr:blipFill>
        <a:blip xmlns:r="http://schemas.openxmlformats.org/officeDocument/2006/relationships" r:embed="rId157" cstate="print"/>
        <a:stretch>
          <a:fillRect/>
        </a:stretch>
      </xdr:blipFill>
      <xdr:spPr>
        <a:prstGeom prst="rect">
          <a:avLst/>
        </a:prstGeom>
        <a:noFill/>
      </xdr:spPr>
    </xdr:pic>
    <xdr:clientData fLocksWithSheet="0"/>
  </xdr:oneCellAnchor>
  <xdr:oneCellAnchor>
    <xdr:from>
      <xdr:col>3</xdr:col>
      <xdr:colOff>0</xdr:colOff>
      <xdr:row>112</xdr:row>
      <xdr:rowOff>0</xdr:rowOff>
    </xdr:from>
    <xdr:ext cx="3152775" cy="1771650"/>
    <xdr:pic>
      <xdr:nvPicPr>
        <xdr:cNvPr id="162" name="image157.png">
          <a:extLst>
            <a:ext uri="{FF2B5EF4-FFF2-40B4-BE49-F238E27FC236}">
              <a16:creationId xmlns:a16="http://schemas.microsoft.com/office/drawing/2014/main" id="{00000000-0008-0000-0200-0000A2000000}"/>
            </a:ext>
          </a:extLst>
        </xdr:cNvPr>
        <xdr:cNvPicPr preferRelativeResize="0"/>
      </xdr:nvPicPr>
      <xdr:blipFill>
        <a:blip xmlns:r="http://schemas.openxmlformats.org/officeDocument/2006/relationships" r:embed="rId158" cstate="print"/>
        <a:stretch>
          <a:fillRect/>
        </a:stretch>
      </xdr:blipFill>
      <xdr:spPr>
        <a:prstGeom prst="rect">
          <a:avLst/>
        </a:prstGeom>
        <a:noFill/>
      </xdr:spPr>
    </xdr:pic>
    <xdr:clientData fLocksWithSheet="0"/>
  </xdr:oneCellAnchor>
  <xdr:oneCellAnchor>
    <xdr:from>
      <xdr:col>2</xdr:col>
      <xdr:colOff>0</xdr:colOff>
      <xdr:row>113</xdr:row>
      <xdr:rowOff>0</xdr:rowOff>
    </xdr:from>
    <xdr:ext cx="2152650" cy="2076450"/>
    <xdr:pic>
      <xdr:nvPicPr>
        <xdr:cNvPr id="163" name="image150.png">
          <a:extLst>
            <a:ext uri="{FF2B5EF4-FFF2-40B4-BE49-F238E27FC236}">
              <a16:creationId xmlns:a16="http://schemas.microsoft.com/office/drawing/2014/main" id="{00000000-0008-0000-0200-0000A3000000}"/>
            </a:ext>
          </a:extLst>
        </xdr:cNvPr>
        <xdr:cNvPicPr preferRelativeResize="0"/>
      </xdr:nvPicPr>
      <xdr:blipFill>
        <a:blip xmlns:r="http://schemas.openxmlformats.org/officeDocument/2006/relationships" r:embed="rId159" cstate="print"/>
        <a:stretch>
          <a:fillRect/>
        </a:stretch>
      </xdr:blipFill>
      <xdr:spPr>
        <a:prstGeom prst="rect">
          <a:avLst/>
        </a:prstGeom>
        <a:noFill/>
      </xdr:spPr>
    </xdr:pic>
    <xdr:clientData fLocksWithSheet="0"/>
  </xdr:oneCellAnchor>
  <xdr:oneCellAnchor>
    <xdr:from>
      <xdr:col>3</xdr:col>
      <xdr:colOff>0</xdr:colOff>
      <xdr:row>113</xdr:row>
      <xdr:rowOff>0</xdr:rowOff>
    </xdr:from>
    <xdr:ext cx="1704975" cy="2085975"/>
    <xdr:pic>
      <xdr:nvPicPr>
        <xdr:cNvPr id="164" name="image149.png">
          <a:extLst>
            <a:ext uri="{FF2B5EF4-FFF2-40B4-BE49-F238E27FC236}">
              <a16:creationId xmlns:a16="http://schemas.microsoft.com/office/drawing/2014/main" id="{00000000-0008-0000-0200-0000A4000000}"/>
            </a:ext>
          </a:extLst>
        </xdr:cNvPr>
        <xdr:cNvPicPr preferRelativeResize="0"/>
      </xdr:nvPicPr>
      <xdr:blipFill>
        <a:blip xmlns:r="http://schemas.openxmlformats.org/officeDocument/2006/relationships" r:embed="rId160" cstate="print"/>
        <a:stretch>
          <a:fillRect/>
        </a:stretch>
      </xdr:blipFill>
      <xdr:spPr>
        <a:prstGeom prst="rect">
          <a:avLst/>
        </a:prstGeom>
        <a:noFill/>
      </xdr:spPr>
    </xdr:pic>
    <xdr:clientData fLocksWithSheet="0"/>
  </xdr:oneCellAnchor>
  <xdr:oneCellAnchor>
    <xdr:from>
      <xdr:col>2</xdr:col>
      <xdr:colOff>0</xdr:colOff>
      <xdr:row>114</xdr:row>
      <xdr:rowOff>0</xdr:rowOff>
    </xdr:from>
    <xdr:ext cx="2009775" cy="2076450"/>
    <xdr:pic>
      <xdr:nvPicPr>
        <xdr:cNvPr id="165" name="image159.png">
          <a:extLst>
            <a:ext uri="{FF2B5EF4-FFF2-40B4-BE49-F238E27FC236}">
              <a16:creationId xmlns:a16="http://schemas.microsoft.com/office/drawing/2014/main" id="{00000000-0008-0000-0200-0000A5000000}"/>
            </a:ext>
          </a:extLst>
        </xdr:cNvPr>
        <xdr:cNvPicPr preferRelativeResize="0"/>
      </xdr:nvPicPr>
      <xdr:blipFill>
        <a:blip xmlns:r="http://schemas.openxmlformats.org/officeDocument/2006/relationships" r:embed="rId161" cstate="print"/>
        <a:stretch>
          <a:fillRect/>
        </a:stretch>
      </xdr:blipFill>
      <xdr:spPr>
        <a:prstGeom prst="rect">
          <a:avLst/>
        </a:prstGeom>
        <a:noFill/>
      </xdr:spPr>
    </xdr:pic>
    <xdr:clientData fLocksWithSheet="0"/>
  </xdr:oneCellAnchor>
  <xdr:oneCellAnchor>
    <xdr:from>
      <xdr:col>3</xdr:col>
      <xdr:colOff>0</xdr:colOff>
      <xdr:row>114</xdr:row>
      <xdr:rowOff>0</xdr:rowOff>
    </xdr:from>
    <xdr:ext cx="3152775" cy="1771650"/>
    <xdr:pic>
      <xdr:nvPicPr>
        <xdr:cNvPr id="166" name="image170.jpg">
          <a:extLst>
            <a:ext uri="{FF2B5EF4-FFF2-40B4-BE49-F238E27FC236}">
              <a16:creationId xmlns:a16="http://schemas.microsoft.com/office/drawing/2014/main" id="{00000000-0008-0000-0200-0000A6000000}"/>
            </a:ext>
          </a:extLst>
        </xdr:cNvPr>
        <xdr:cNvPicPr preferRelativeResize="0"/>
      </xdr:nvPicPr>
      <xdr:blipFill>
        <a:blip xmlns:r="http://schemas.openxmlformats.org/officeDocument/2006/relationships" r:embed="rId162" cstate="print"/>
        <a:stretch>
          <a:fillRect/>
        </a:stretch>
      </xdr:blipFill>
      <xdr:spPr>
        <a:prstGeom prst="rect">
          <a:avLst/>
        </a:prstGeom>
        <a:noFill/>
      </xdr:spPr>
    </xdr:pic>
    <xdr:clientData fLocksWithSheet="0"/>
  </xdr:oneCellAnchor>
  <xdr:oneCellAnchor>
    <xdr:from>
      <xdr:col>2</xdr:col>
      <xdr:colOff>0</xdr:colOff>
      <xdr:row>115</xdr:row>
      <xdr:rowOff>0</xdr:rowOff>
    </xdr:from>
    <xdr:ext cx="2057400" cy="2085975"/>
    <xdr:pic>
      <xdr:nvPicPr>
        <xdr:cNvPr id="167" name="image177.png">
          <a:extLst>
            <a:ext uri="{FF2B5EF4-FFF2-40B4-BE49-F238E27FC236}">
              <a16:creationId xmlns:a16="http://schemas.microsoft.com/office/drawing/2014/main" id="{00000000-0008-0000-0200-0000A7000000}"/>
            </a:ext>
          </a:extLst>
        </xdr:cNvPr>
        <xdr:cNvPicPr preferRelativeResize="0"/>
      </xdr:nvPicPr>
      <xdr:blipFill>
        <a:blip xmlns:r="http://schemas.openxmlformats.org/officeDocument/2006/relationships" r:embed="rId163" cstate="print"/>
        <a:stretch>
          <a:fillRect/>
        </a:stretch>
      </xdr:blipFill>
      <xdr:spPr>
        <a:prstGeom prst="rect">
          <a:avLst/>
        </a:prstGeom>
        <a:noFill/>
      </xdr:spPr>
    </xdr:pic>
    <xdr:clientData fLocksWithSheet="0"/>
  </xdr:oneCellAnchor>
  <xdr:oneCellAnchor>
    <xdr:from>
      <xdr:col>3</xdr:col>
      <xdr:colOff>0</xdr:colOff>
      <xdr:row>115</xdr:row>
      <xdr:rowOff>0</xdr:rowOff>
    </xdr:from>
    <xdr:ext cx="2743200" cy="2076450"/>
    <xdr:pic>
      <xdr:nvPicPr>
        <xdr:cNvPr id="168" name="image171.png">
          <a:extLst>
            <a:ext uri="{FF2B5EF4-FFF2-40B4-BE49-F238E27FC236}">
              <a16:creationId xmlns:a16="http://schemas.microsoft.com/office/drawing/2014/main" id="{00000000-0008-0000-0200-0000A8000000}"/>
            </a:ext>
          </a:extLst>
        </xdr:cNvPr>
        <xdr:cNvPicPr preferRelativeResize="0"/>
      </xdr:nvPicPr>
      <xdr:blipFill>
        <a:blip xmlns:r="http://schemas.openxmlformats.org/officeDocument/2006/relationships" r:embed="rId164" cstate="print"/>
        <a:stretch>
          <a:fillRect/>
        </a:stretch>
      </xdr:blipFill>
      <xdr:spPr>
        <a:prstGeom prst="rect">
          <a:avLst/>
        </a:prstGeom>
        <a:noFill/>
      </xdr:spPr>
    </xdr:pic>
    <xdr:clientData fLocksWithSheet="0"/>
  </xdr:oneCellAnchor>
  <xdr:oneCellAnchor>
    <xdr:from>
      <xdr:col>2</xdr:col>
      <xdr:colOff>0</xdr:colOff>
      <xdr:row>116</xdr:row>
      <xdr:rowOff>0</xdr:rowOff>
    </xdr:from>
    <xdr:ext cx="2047875" cy="2085975"/>
    <xdr:pic>
      <xdr:nvPicPr>
        <xdr:cNvPr id="169" name="image168.png">
          <a:extLst>
            <a:ext uri="{FF2B5EF4-FFF2-40B4-BE49-F238E27FC236}">
              <a16:creationId xmlns:a16="http://schemas.microsoft.com/office/drawing/2014/main" id="{00000000-0008-0000-0200-0000A9000000}"/>
            </a:ext>
          </a:extLst>
        </xdr:cNvPr>
        <xdr:cNvPicPr preferRelativeResize="0"/>
      </xdr:nvPicPr>
      <xdr:blipFill>
        <a:blip xmlns:r="http://schemas.openxmlformats.org/officeDocument/2006/relationships" r:embed="rId165" cstate="print"/>
        <a:stretch>
          <a:fillRect/>
        </a:stretch>
      </xdr:blipFill>
      <xdr:spPr>
        <a:prstGeom prst="rect">
          <a:avLst/>
        </a:prstGeom>
        <a:noFill/>
      </xdr:spPr>
    </xdr:pic>
    <xdr:clientData fLocksWithSheet="0"/>
  </xdr:oneCellAnchor>
  <xdr:oneCellAnchor>
    <xdr:from>
      <xdr:col>3</xdr:col>
      <xdr:colOff>0</xdr:colOff>
      <xdr:row>116</xdr:row>
      <xdr:rowOff>0</xdr:rowOff>
    </xdr:from>
    <xdr:ext cx="2371725" cy="2085975"/>
    <xdr:pic>
      <xdr:nvPicPr>
        <xdr:cNvPr id="170" name="image162.png">
          <a:extLst>
            <a:ext uri="{FF2B5EF4-FFF2-40B4-BE49-F238E27FC236}">
              <a16:creationId xmlns:a16="http://schemas.microsoft.com/office/drawing/2014/main" id="{00000000-0008-0000-0200-0000AA000000}"/>
            </a:ext>
          </a:extLst>
        </xdr:cNvPr>
        <xdr:cNvPicPr preferRelativeResize="0"/>
      </xdr:nvPicPr>
      <xdr:blipFill>
        <a:blip xmlns:r="http://schemas.openxmlformats.org/officeDocument/2006/relationships" r:embed="rId166" cstate="print"/>
        <a:stretch>
          <a:fillRect/>
        </a:stretch>
      </xdr:blipFill>
      <xdr:spPr>
        <a:prstGeom prst="rect">
          <a:avLst/>
        </a:prstGeom>
        <a:noFill/>
      </xdr:spPr>
    </xdr:pic>
    <xdr:clientData fLocksWithSheet="0"/>
  </xdr:oneCellAnchor>
  <xdr:oneCellAnchor>
    <xdr:from>
      <xdr:col>2</xdr:col>
      <xdr:colOff>0</xdr:colOff>
      <xdr:row>117</xdr:row>
      <xdr:rowOff>0</xdr:rowOff>
    </xdr:from>
    <xdr:ext cx="3286125" cy="2085975"/>
    <xdr:pic>
      <xdr:nvPicPr>
        <xdr:cNvPr id="171" name="image158.png">
          <a:extLst>
            <a:ext uri="{FF2B5EF4-FFF2-40B4-BE49-F238E27FC236}">
              <a16:creationId xmlns:a16="http://schemas.microsoft.com/office/drawing/2014/main" id="{00000000-0008-0000-0200-0000AB000000}"/>
            </a:ext>
          </a:extLst>
        </xdr:cNvPr>
        <xdr:cNvPicPr preferRelativeResize="0"/>
      </xdr:nvPicPr>
      <xdr:blipFill>
        <a:blip xmlns:r="http://schemas.openxmlformats.org/officeDocument/2006/relationships" r:embed="rId167" cstate="print"/>
        <a:stretch>
          <a:fillRect/>
        </a:stretch>
      </xdr:blipFill>
      <xdr:spPr>
        <a:prstGeom prst="rect">
          <a:avLst/>
        </a:prstGeom>
        <a:noFill/>
      </xdr:spPr>
    </xdr:pic>
    <xdr:clientData fLocksWithSheet="0"/>
  </xdr:oneCellAnchor>
  <xdr:oneCellAnchor>
    <xdr:from>
      <xdr:col>3</xdr:col>
      <xdr:colOff>0</xdr:colOff>
      <xdr:row>117</xdr:row>
      <xdr:rowOff>0</xdr:rowOff>
    </xdr:from>
    <xdr:ext cx="2076450" cy="2085975"/>
    <xdr:pic>
      <xdr:nvPicPr>
        <xdr:cNvPr id="172" name="image164.png">
          <a:extLst>
            <a:ext uri="{FF2B5EF4-FFF2-40B4-BE49-F238E27FC236}">
              <a16:creationId xmlns:a16="http://schemas.microsoft.com/office/drawing/2014/main" id="{00000000-0008-0000-0200-0000AC000000}"/>
            </a:ext>
          </a:extLst>
        </xdr:cNvPr>
        <xdr:cNvPicPr preferRelativeResize="0"/>
      </xdr:nvPicPr>
      <xdr:blipFill>
        <a:blip xmlns:r="http://schemas.openxmlformats.org/officeDocument/2006/relationships" r:embed="rId168" cstate="print"/>
        <a:stretch>
          <a:fillRect/>
        </a:stretch>
      </xdr:blipFill>
      <xdr:spPr>
        <a:prstGeom prst="rect">
          <a:avLst/>
        </a:prstGeom>
        <a:noFill/>
      </xdr:spPr>
    </xdr:pic>
    <xdr:clientData fLocksWithSheet="0"/>
  </xdr:oneCellAnchor>
  <xdr:oneCellAnchor>
    <xdr:from>
      <xdr:col>2</xdr:col>
      <xdr:colOff>0</xdr:colOff>
      <xdr:row>118</xdr:row>
      <xdr:rowOff>0</xdr:rowOff>
    </xdr:from>
    <xdr:ext cx="2295525" cy="2085975"/>
    <xdr:pic>
      <xdr:nvPicPr>
        <xdr:cNvPr id="173" name="image184.png">
          <a:extLst>
            <a:ext uri="{FF2B5EF4-FFF2-40B4-BE49-F238E27FC236}">
              <a16:creationId xmlns:a16="http://schemas.microsoft.com/office/drawing/2014/main" id="{00000000-0008-0000-0200-0000AD000000}"/>
            </a:ext>
          </a:extLst>
        </xdr:cNvPr>
        <xdr:cNvPicPr preferRelativeResize="0"/>
      </xdr:nvPicPr>
      <xdr:blipFill>
        <a:blip xmlns:r="http://schemas.openxmlformats.org/officeDocument/2006/relationships" r:embed="rId169" cstate="print"/>
        <a:stretch>
          <a:fillRect/>
        </a:stretch>
      </xdr:blipFill>
      <xdr:spPr>
        <a:prstGeom prst="rect">
          <a:avLst/>
        </a:prstGeom>
        <a:noFill/>
      </xdr:spPr>
    </xdr:pic>
    <xdr:clientData fLocksWithSheet="0"/>
  </xdr:oneCellAnchor>
  <xdr:oneCellAnchor>
    <xdr:from>
      <xdr:col>3</xdr:col>
      <xdr:colOff>0</xdr:colOff>
      <xdr:row>118</xdr:row>
      <xdr:rowOff>0</xdr:rowOff>
    </xdr:from>
    <xdr:ext cx="3152775" cy="1762125"/>
    <xdr:pic>
      <xdr:nvPicPr>
        <xdr:cNvPr id="174" name="image166.png">
          <a:extLst>
            <a:ext uri="{FF2B5EF4-FFF2-40B4-BE49-F238E27FC236}">
              <a16:creationId xmlns:a16="http://schemas.microsoft.com/office/drawing/2014/main" id="{00000000-0008-0000-0200-0000AE000000}"/>
            </a:ext>
          </a:extLst>
        </xdr:cNvPr>
        <xdr:cNvPicPr preferRelativeResize="0"/>
      </xdr:nvPicPr>
      <xdr:blipFill>
        <a:blip xmlns:r="http://schemas.openxmlformats.org/officeDocument/2006/relationships" r:embed="rId170" cstate="print"/>
        <a:stretch>
          <a:fillRect/>
        </a:stretch>
      </xdr:blipFill>
      <xdr:spPr>
        <a:prstGeom prst="rect">
          <a:avLst/>
        </a:prstGeom>
        <a:noFill/>
      </xdr:spPr>
    </xdr:pic>
    <xdr:clientData fLocksWithSheet="0"/>
  </xdr:oneCellAnchor>
  <xdr:oneCellAnchor>
    <xdr:from>
      <xdr:col>2</xdr:col>
      <xdr:colOff>0</xdr:colOff>
      <xdr:row>119</xdr:row>
      <xdr:rowOff>0</xdr:rowOff>
    </xdr:from>
    <xdr:ext cx="2105025" cy="2085975"/>
    <xdr:pic>
      <xdr:nvPicPr>
        <xdr:cNvPr id="175" name="image173.png">
          <a:extLst>
            <a:ext uri="{FF2B5EF4-FFF2-40B4-BE49-F238E27FC236}">
              <a16:creationId xmlns:a16="http://schemas.microsoft.com/office/drawing/2014/main" id="{00000000-0008-0000-0200-0000AF000000}"/>
            </a:ext>
          </a:extLst>
        </xdr:cNvPr>
        <xdr:cNvPicPr preferRelativeResize="0"/>
      </xdr:nvPicPr>
      <xdr:blipFill>
        <a:blip xmlns:r="http://schemas.openxmlformats.org/officeDocument/2006/relationships" r:embed="rId171" cstate="print"/>
        <a:stretch>
          <a:fillRect/>
        </a:stretch>
      </xdr:blipFill>
      <xdr:spPr>
        <a:prstGeom prst="rect">
          <a:avLst/>
        </a:prstGeom>
        <a:noFill/>
      </xdr:spPr>
    </xdr:pic>
    <xdr:clientData fLocksWithSheet="0"/>
  </xdr:oneCellAnchor>
  <xdr:oneCellAnchor>
    <xdr:from>
      <xdr:col>3</xdr:col>
      <xdr:colOff>0</xdr:colOff>
      <xdr:row>119</xdr:row>
      <xdr:rowOff>0</xdr:rowOff>
    </xdr:from>
    <xdr:ext cx="2266950" cy="2085975"/>
    <xdr:pic>
      <xdr:nvPicPr>
        <xdr:cNvPr id="176" name="image160.png">
          <a:extLst>
            <a:ext uri="{FF2B5EF4-FFF2-40B4-BE49-F238E27FC236}">
              <a16:creationId xmlns:a16="http://schemas.microsoft.com/office/drawing/2014/main" id="{00000000-0008-0000-0200-0000B0000000}"/>
            </a:ext>
          </a:extLst>
        </xdr:cNvPr>
        <xdr:cNvPicPr preferRelativeResize="0"/>
      </xdr:nvPicPr>
      <xdr:blipFill>
        <a:blip xmlns:r="http://schemas.openxmlformats.org/officeDocument/2006/relationships" r:embed="rId172" cstate="print"/>
        <a:stretch>
          <a:fillRect/>
        </a:stretch>
      </xdr:blipFill>
      <xdr:spPr>
        <a:prstGeom prst="rect">
          <a:avLst/>
        </a:prstGeom>
        <a:noFill/>
      </xdr:spPr>
    </xdr:pic>
    <xdr:clientData fLocksWithSheet="0"/>
  </xdr:oneCellAnchor>
  <xdr:oneCellAnchor>
    <xdr:from>
      <xdr:col>2</xdr:col>
      <xdr:colOff>0</xdr:colOff>
      <xdr:row>120</xdr:row>
      <xdr:rowOff>0</xdr:rowOff>
    </xdr:from>
    <xdr:ext cx="2543175" cy="2085975"/>
    <xdr:pic>
      <xdr:nvPicPr>
        <xdr:cNvPr id="177" name="image176.png">
          <a:extLst>
            <a:ext uri="{FF2B5EF4-FFF2-40B4-BE49-F238E27FC236}">
              <a16:creationId xmlns:a16="http://schemas.microsoft.com/office/drawing/2014/main" id="{00000000-0008-0000-0200-0000B1000000}"/>
            </a:ext>
          </a:extLst>
        </xdr:cNvPr>
        <xdr:cNvPicPr preferRelativeResize="0"/>
      </xdr:nvPicPr>
      <xdr:blipFill>
        <a:blip xmlns:r="http://schemas.openxmlformats.org/officeDocument/2006/relationships" r:embed="rId173" cstate="print"/>
        <a:stretch>
          <a:fillRect/>
        </a:stretch>
      </xdr:blipFill>
      <xdr:spPr>
        <a:prstGeom prst="rect">
          <a:avLst/>
        </a:prstGeom>
        <a:noFill/>
      </xdr:spPr>
    </xdr:pic>
    <xdr:clientData fLocksWithSheet="0"/>
  </xdr:oneCellAnchor>
  <xdr:oneCellAnchor>
    <xdr:from>
      <xdr:col>3</xdr:col>
      <xdr:colOff>0</xdr:colOff>
      <xdr:row>120</xdr:row>
      <xdr:rowOff>0</xdr:rowOff>
    </xdr:from>
    <xdr:ext cx="2333625" cy="2085975"/>
    <xdr:pic>
      <xdr:nvPicPr>
        <xdr:cNvPr id="178" name="image191.png">
          <a:extLst>
            <a:ext uri="{FF2B5EF4-FFF2-40B4-BE49-F238E27FC236}">
              <a16:creationId xmlns:a16="http://schemas.microsoft.com/office/drawing/2014/main" id="{00000000-0008-0000-0200-0000B2000000}"/>
            </a:ext>
          </a:extLst>
        </xdr:cNvPr>
        <xdr:cNvPicPr preferRelativeResize="0"/>
      </xdr:nvPicPr>
      <xdr:blipFill>
        <a:blip xmlns:r="http://schemas.openxmlformats.org/officeDocument/2006/relationships" r:embed="rId174" cstate="print"/>
        <a:stretch>
          <a:fillRect/>
        </a:stretch>
      </xdr:blipFill>
      <xdr:spPr>
        <a:prstGeom prst="rect">
          <a:avLst/>
        </a:prstGeom>
        <a:noFill/>
      </xdr:spPr>
    </xdr:pic>
    <xdr:clientData fLocksWithSheet="0"/>
  </xdr:oneCellAnchor>
  <xdr:oneCellAnchor>
    <xdr:from>
      <xdr:col>2</xdr:col>
      <xdr:colOff>0</xdr:colOff>
      <xdr:row>121</xdr:row>
      <xdr:rowOff>0</xdr:rowOff>
    </xdr:from>
    <xdr:ext cx="3048000" cy="2085975"/>
    <xdr:pic>
      <xdr:nvPicPr>
        <xdr:cNvPr id="179" name="image182.png">
          <a:extLst>
            <a:ext uri="{FF2B5EF4-FFF2-40B4-BE49-F238E27FC236}">
              <a16:creationId xmlns:a16="http://schemas.microsoft.com/office/drawing/2014/main" id="{00000000-0008-0000-0200-0000B3000000}"/>
            </a:ext>
          </a:extLst>
        </xdr:cNvPr>
        <xdr:cNvPicPr preferRelativeResize="0"/>
      </xdr:nvPicPr>
      <xdr:blipFill>
        <a:blip xmlns:r="http://schemas.openxmlformats.org/officeDocument/2006/relationships" r:embed="rId175" cstate="print"/>
        <a:stretch>
          <a:fillRect/>
        </a:stretch>
      </xdr:blipFill>
      <xdr:spPr>
        <a:prstGeom prst="rect">
          <a:avLst/>
        </a:prstGeom>
        <a:noFill/>
      </xdr:spPr>
    </xdr:pic>
    <xdr:clientData fLocksWithSheet="0"/>
  </xdr:oneCellAnchor>
  <xdr:oneCellAnchor>
    <xdr:from>
      <xdr:col>3</xdr:col>
      <xdr:colOff>0</xdr:colOff>
      <xdr:row>121</xdr:row>
      <xdr:rowOff>0</xdr:rowOff>
    </xdr:from>
    <xdr:ext cx="2266950" cy="2085975"/>
    <xdr:pic>
      <xdr:nvPicPr>
        <xdr:cNvPr id="180" name="image167.png">
          <a:extLst>
            <a:ext uri="{FF2B5EF4-FFF2-40B4-BE49-F238E27FC236}">
              <a16:creationId xmlns:a16="http://schemas.microsoft.com/office/drawing/2014/main" id="{00000000-0008-0000-0200-0000B4000000}"/>
            </a:ext>
          </a:extLst>
        </xdr:cNvPr>
        <xdr:cNvPicPr preferRelativeResize="0"/>
      </xdr:nvPicPr>
      <xdr:blipFill>
        <a:blip xmlns:r="http://schemas.openxmlformats.org/officeDocument/2006/relationships" r:embed="rId176" cstate="print"/>
        <a:stretch>
          <a:fillRect/>
        </a:stretch>
      </xdr:blipFill>
      <xdr:spPr>
        <a:prstGeom prst="rect">
          <a:avLst/>
        </a:prstGeom>
        <a:noFill/>
      </xdr:spPr>
    </xdr:pic>
    <xdr:clientData fLocksWithSheet="0"/>
  </xdr:oneCellAnchor>
  <xdr:oneCellAnchor>
    <xdr:from>
      <xdr:col>2</xdr:col>
      <xdr:colOff>0</xdr:colOff>
      <xdr:row>122</xdr:row>
      <xdr:rowOff>0</xdr:rowOff>
    </xdr:from>
    <xdr:ext cx="2105025" cy="2085975"/>
    <xdr:pic>
      <xdr:nvPicPr>
        <xdr:cNvPr id="181" name="image183.png">
          <a:extLst>
            <a:ext uri="{FF2B5EF4-FFF2-40B4-BE49-F238E27FC236}">
              <a16:creationId xmlns:a16="http://schemas.microsoft.com/office/drawing/2014/main" id="{00000000-0008-0000-0200-0000B5000000}"/>
            </a:ext>
          </a:extLst>
        </xdr:cNvPr>
        <xdr:cNvPicPr preferRelativeResize="0"/>
      </xdr:nvPicPr>
      <xdr:blipFill>
        <a:blip xmlns:r="http://schemas.openxmlformats.org/officeDocument/2006/relationships" r:embed="rId177" cstate="print"/>
        <a:stretch>
          <a:fillRect/>
        </a:stretch>
      </xdr:blipFill>
      <xdr:spPr>
        <a:prstGeom prst="rect">
          <a:avLst/>
        </a:prstGeom>
        <a:noFill/>
      </xdr:spPr>
    </xdr:pic>
    <xdr:clientData fLocksWithSheet="0"/>
  </xdr:oneCellAnchor>
  <xdr:oneCellAnchor>
    <xdr:from>
      <xdr:col>3</xdr:col>
      <xdr:colOff>0</xdr:colOff>
      <xdr:row>122</xdr:row>
      <xdr:rowOff>0</xdr:rowOff>
    </xdr:from>
    <xdr:ext cx="1885950" cy="2085975"/>
    <xdr:pic>
      <xdr:nvPicPr>
        <xdr:cNvPr id="182" name="image187.png">
          <a:extLst>
            <a:ext uri="{FF2B5EF4-FFF2-40B4-BE49-F238E27FC236}">
              <a16:creationId xmlns:a16="http://schemas.microsoft.com/office/drawing/2014/main" id="{00000000-0008-0000-0200-0000B6000000}"/>
            </a:ext>
          </a:extLst>
        </xdr:cNvPr>
        <xdr:cNvPicPr preferRelativeResize="0"/>
      </xdr:nvPicPr>
      <xdr:blipFill>
        <a:blip xmlns:r="http://schemas.openxmlformats.org/officeDocument/2006/relationships" r:embed="rId178" cstate="print"/>
        <a:stretch>
          <a:fillRect/>
        </a:stretch>
      </xdr:blipFill>
      <xdr:spPr>
        <a:prstGeom prst="rect">
          <a:avLst/>
        </a:prstGeom>
        <a:noFill/>
      </xdr:spPr>
    </xdr:pic>
    <xdr:clientData fLocksWithSheet="0"/>
  </xdr:oneCellAnchor>
  <xdr:oneCellAnchor>
    <xdr:from>
      <xdr:col>2</xdr:col>
      <xdr:colOff>0</xdr:colOff>
      <xdr:row>123</xdr:row>
      <xdr:rowOff>0</xdr:rowOff>
    </xdr:from>
    <xdr:ext cx="2981325" cy="2085975"/>
    <xdr:pic>
      <xdr:nvPicPr>
        <xdr:cNvPr id="183" name="image180.png">
          <a:extLst>
            <a:ext uri="{FF2B5EF4-FFF2-40B4-BE49-F238E27FC236}">
              <a16:creationId xmlns:a16="http://schemas.microsoft.com/office/drawing/2014/main" id="{00000000-0008-0000-0200-0000B7000000}"/>
            </a:ext>
          </a:extLst>
        </xdr:cNvPr>
        <xdr:cNvPicPr preferRelativeResize="0"/>
      </xdr:nvPicPr>
      <xdr:blipFill>
        <a:blip xmlns:r="http://schemas.openxmlformats.org/officeDocument/2006/relationships" r:embed="rId179" cstate="print"/>
        <a:stretch>
          <a:fillRect/>
        </a:stretch>
      </xdr:blipFill>
      <xdr:spPr>
        <a:prstGeom prst="rect">
          <a:avLst/>
        </a:prstGeom>
        <a:noFill/>
      </xdr:spPr>
    </xdr:pic>
    <xdr:clientData fLocksWithSheet="0"/>
  </xdr:oneCellAnchor>
  <xdr:oneCellAnchor>
    <xdr:from>
      <xdr:col>2</xdr:col>
      <xdr:colOff>0</xdr:colOff>
      <xdr:row>124</xdr:row>
      <xdr:rowOff>0</xdr:rowOff>
    </xdr:from>
    <xdr:ext cx="2276475" cy="2085975"/>
    <xdr:pic>
      <xdr:nvPicPr>
        <xdr:cNvPr id="184" name="image188.jpg">
          <a:extLst>
            <a:ext uri="{FF2B5EF4-FFF2-40B4-BE49-F238E27FC236}">
              <a16:creationId xmlns:a16="http://schemas.microsoft.com/office/drawing/2014/main" id="{00000000-0008-0000-0200-0000B8000000}"/>
            </a:ext>
          </a:extLst>
        </xdr:cNvPr>
        <xdr:cNvPicPr preferRelativeResize="0"/>
      </xdr:nvPicPr>
      <xdr:blipFill>
        <a:blip xmlns:r="http://schemas.openxmlformats.org/officeDocument/2006/relationships" r:embed="rId180" cstate="print"/>
        <a:stretch>
          <a:fillRect/>
        </a:stretch>
      </xdr:blipFill>
      <xdr:spPr>
        <a:prstGeom prst="rect">
          <a:avLst/>
        </a:prstGeom>
        <a:noFill/>
      </xdr:spPr>
    </xdr:pic>
    <xdr:clientData fLocksWithSheet="0"/>
  </xdr:oneCellAnchor>
  <xdr:oneCellAnchor>
    <xdr:from>
      <xdr:col>2</xdr:col>
      <xdr:colOff>0</xdr:colOff>
      <xdr:row>125</xdr:row>
      <xdr:rowOff>0</xdr:rowOff>
    </xdr:from>
    <xdr:ext cx="2209800" cy="2085975"/>
    <xdr:pic>
      <xdr:nvPicPr>
        <xdr:cNvPr id="185" name="image172.png">
          <a:extLst>
            <a:ext uri="{FF2B5EF4-FFF2-40B4-BE49-F238E27FC236}">
              <a16:creationId xmlns:a16="http://schemas.microsoft.com/office/drawing/2014/main" id="{00000000-0008-0000-0200-0000B9000000}"/>
            </a:ext>
          </a:extLst>
        </xdr:cNvPr>
        <xdr:cNvPicPr preferRelativeResize="0"/>
      </xdr:nvPicPr>
      <xdr:blipFill>
        <a:blip xmlns:r="http://schemas.openxmlformats.org/officeDocument/2006/relationships" r:embed="rId181" cstate="print"/>
        <a:stretch>
          <a:fillRect/>
        </a:stretch>
      </xdr:blipFill>
      <xdr:spPr>
        <a:prstGeom prst="rect">
          <a:avLst/>
        </a:prstGeom>
        <a:noFill/>
      </xdr:spPr>
    </xdr:pic>
    <xdr:clientData fLocksWithSheet="0"/>
  </xdr:oneCellAnchor>
  <xdr:oneCellAnchor>
    <xdr:from>
      <xdr:col>3</xdr:col>
      <xdr:colOff>0</xdr:colOff>
      <xdr:row>125</xdr:row>
      <xdr:rowOff>0</xdr:rowOff>
    </xdr:from>
    <xdr:ext cx="2686050" cy="2085975"/>
    <xdr:pic>
      <xdr:nvPicPr>
        <xdr:cNvPr id="186" name="image174.png">
          <a:extLst>
            <a:ext uri="{FF2B5EF4-FFF2-40B4-BE49-F238E27FC236}">
              <a16:creationId xmlns:a16="http://schemas.microsoft.com/office/drawing/2014/main" id="{00000000-0008-0000-0200-0000BA000000}"/>
            </a:ext>
          </a:extLst>
        </xdr:cNvPr>
        <xdr:cNvPicPr preferRelativeResize="0"/>
      </xdr:nvPicPr>
      <xdr:blipFill>
        <a:blip xmlns:r="http://schemas.openxmlformats.org/officeDocument/2006/relationships" r:embed="rId182" cstate="print"/>
        <a:stretch>
          <a:fillRect/>
        </a:stretch>
      </xdr:blipFill>
      <xdr:spPr>
        <a:prstGeom prst="rect">
          <a:avLst/>
        </a:prstGeom>
        <a:noFill/>
      </xdr:spPr>
    </xdr:pic>
    <xdr:clientData fLocksWithSheet="0"/>
  </xdr:oneCellAnchor>
  <xdr:oneCellAnchor>
    <xdr:from>
      <xdr:col>2</xdr:col>
      <xdr:colOff>0</xdr:colOff>
      <xdr:row>126</xdr:row>
      <xdr:rowOff>0</xdr:rowOff>
    </xdr:from>
    <xdr:ext cx="2066925" cy="2085975"/>
    <xdr:pic>
      <xdr:nvPicPr>
        <xdr:cNvPr id="187" name="image189.png">
          <a:extLst>
            <a:ext uri="{FF2B5EF4-FFF2-40B4-BE49-F238E27FC236}">
              <a16:creationId xmlns:a16="http://schemas.microsoft.com/office/drawing/2014/main" id="{00000000-0008-0000-0200-0000BB000000}"/>
            </a:ext>
          </a:extLst>
        </xdr:cNvPr>
        <xdr:cNvPicPr preferRelativeResize="0"/>
      </xdr:nvPicPr>
      <xdr:blipFill>
        <a:blip xmlns:r="http://schemas.openxmlformats.org/officeDocument/2006/relationships" r:embed="rId183" cstate="print"/>
        <a:stretch>
          <a:fillRect/>
        </a:stretch>
      </xdr:blipFill>
      <xdr:spPr>
        <a:prstGeom prst="rect">
          <a:avLst/>
        </a:prstGeom>
        <a:noFill/>
      </xdr:spPr>
    </xdr:pic>
    <xdr:clientData fLocksWithSheet="0"/>
  </xdr:oneCellAnchor>
  <xdr:oneCellAnchor>
    <xdr:from>
      <xdr:col>3</xdr:col>
      <xdr:colOff>0</xdr:colOff>
      <xdr:row>126</xdr:row>
      <xdr:rowOff>0</xdr:rowOff>
    </xdr:from>
    <xdr:ext cx="2009775" cy="2076450"/>
    <xdr:pic>
      <xdr:nvPicPr>
        <xdr:cNvPr id="188" name="image192.png">
          <a:extLst>
            <a:ext uri="{FF2B5EF4-FFF2-40B4-BE49-F238E27FC236}">
              <a16:creationId xmlns:a16="http://schemas.microsoft.com/office/drawing/2014/main" id="{00000000-0008-0000-0200-0000BC000000}"/>
            </a:ext>
          </a:extLst>
        </xdr:cNvPr>
        <xdr:cNvPicPr preferRelativeResize="0"/>
      </xdr:nvPicPr>
      <xdr:blipFill>
        <a:blip xmlns:r="http://schemas.openxmlformats.org/officeDocument/2006/relationships" r:embed="rId184" cstate="print"/>
        <a:stretch>
          <a:fillRect/>
        </a:stretch>
      </xdr:blipFill>
      <xdr:spPr>
        <a:prstGeom prst="rect">
          <a:avLst/>
        </a:prstGeom>
        <a:noFill/>
      </xdr:spPr>
    </xdr:pic>
    <xdr:clientData fLocksWithSheet="0"/>
  </xdr:oneCellAnchor>
  <xdr:oneCellAnchor>
    <xdr:from>
      <xdr:col>3</xdr:col>
      <xdr:colOff>0</xdr:colOff>
      <xdr:row>127</xdr:row>
      <xdr:rowOff>0</xdr:rowOff>
    </xdr:from>
    <xdr:ext cx="1162050" cy="2352675"/>
    <xdr:pic>
      <xdr:nvPicPr>
        <xdr:cNvPr id="189" name="image181.png">
          <a:extLst>
            <a:ext uri="{FF2B5EF4-FFF2-40B4-BE49-F238E27FC236}">
              <a16:creationId xmlns:a16="http://schemas.microsoft.com/office/drawing/2014/main" id="{00000000-0008-0000-0200-0000BD000000}"/>
            </a:ext>
          </a:extLst>
        </xdr:cNvPr>
        <xdr:cNvPicPr preferRelativeResize="0"/>
      </xdr:nvPicPr>
      <xdr:blipFill>
        <a:blip xmlns:r="http://schemas.openxmlformats.org/officeDocument/2006/relationships" r:embed="rId185" cstate="print"/>
        <a:stretch>
          <a:fillRect/>
        </a:stretch>
      </xdr:blipFill>
      <xdr:spPr>
        <a:prstGeom prst="rect">
          <a:avLst/>
        </a:prstGeom>
        <a:noFill/>
      </xdr:spPr>
    </xdr:pic>
    <xdr:clientData fLocksWithSheet="0"/>
  </xdr:oneCellAnchor>
  <xdr:oneCellAnchor>
    <xdr:from>
      <xdr:col>3</xdr:col>
      <xdr:colOff>0</xdr:colOff>
      <xdr:row>128</xdr:row>
      <xdr:rowOff>0</xdr:rowOff>
    </xdr:from>
    <xdr:ext cx="1524000" cy="2085975"/>
    <xdr:pic>
      <xdr:nvPicPr>
        <xdr:cNvPr id="190" name="image179.jpg">
          <a:extLst>
            <a:ext uri="{FF2B5EF4-FFF2-40B4-BE49-F238E27FC236}">
              <a16:creationId xmlns:a16="http://schemas.microsoft.com/office/drawing/2014/main" id="{00000000-0008-0000-0200-0000BE000000}"/>
            </a:ext>
          </a:extLst>
        </xdr:cNvPr>
        <xdr:cNvPicPr preferRelativeResize="0"/>
      </xdr:nvPicPr>
      <xdr:blipFill>
        <a:blip xmlns:r="http://schemas.openxmlformats.org/officeDocument/2006/relationships" r:embed="rId186" cstate="print"/>
        <a:stretch>
          <a:fillRect/>
        </a:stretch>
      </xdr:blipFill>
      <xdr:spPr>
        <a:prstGeom prst="rect">
          <a:avLst/>
        </a:prstGeom>
        <a:noFill/>
      </xdr:spPr>
    </xdr:pic>
    <xdr:clientData fLocksWithSheet="0"/>
  </xdr:oneCellAnchor>
  <xdr:oneCellAnchor>
    <xdr:from>
      <xdr:col>2</xdr:col>
      <xdr:colOff>0</xdr:colOff>
      <xdr:row>129</xdr:row>
      <xdr:rowOff>0</xdr:rowOff>
    </xdr:from>
    <xdr:ext cx="2009775" cy="2085975"/>
    <xdr:pic>
      <xdr:nvPicPr>
        <xdr:cNvPr id="191" name="image178.png">
          <a:extLst>
            <a:ext uri="{FF2B5EF4-FFF2-40B4-BE49-F238E27FC236}">
              <a16:creationId xmlns:a16="http://schemas.microsoft.com/office/drawing/2014/main" id="{00000000-0008-0000-0200-0000BF000000}"/>
            </a:ext>
          </a:extLst>
        </xdr:cNvPr>
        <xdr:cNvPicPr preferRelativeResize="0"/>
      </xdr:nvPicPr>
      <xdr:blipFill>
        <a:blip xmlns:r="http://schemas.openxmlformats.org/officeDocument/2006/relationships" r:embed="rId187" cstate="print"/>
        <a:stretch>
          <a:fillRect/>
        </a:stretch>
      </xdr:blipFill>
      <xdr:spPr>
        <a:prstGeom prst="rect">
          <a:avLst/>
        </a:prstGeom>
        <a:noFill/>
      </xdr:spPr>
    </xdr:pic>
    <xdr:clientData fLocksWithSheet="0"/>
  </xdr:oneCellAnchor>
  <xdr:oneCellAnchor>
    <xdr:from>
      <xdr:col>3</xdr:col>
      <xdr:colOff>0</xdr:colOff>
      <xdr:row>129</xdr:row>
      <xdr:rowOff>0</xdr:rowOff>
    </xdr:from>
    <xdr:ext cx="3086100" cy="2085975"/>
    <xdr:pic>
      <xdr:nvPicPr>
        <xdr:cNvPr id="192" name="image175.png">
          <a:extLst>
            <a:ext uri="{FF2B5EF4-FFF2-40B4-BE49-F238E27FC236}">
              <a16:creationId xmlns:a16="http://schemas.microsoft.com/office/drawing/2014/main" id="{00000000-0008-0000-0200-0000C0000000}"/>
            </a:ext>
          </a:extLst>
        </xdr:cNvPr>
        <xdr:cNvPicPr preferRelativeResize="0"/>
      </xdr:nvPicPr>
      <xdr:blipFill>
        <a:blip xmlns:r="http://schemas.openxmlformats.org/officeDocument/2006/relationships" r:embed="rId188" cstate="print"/>
        <a:stretch>
          <a:fillRect/>
        </a:stretch>
      </xdr:blipFill>
      <xdr:spPr>
        <a:prstGeom prst="rect">
          <a:avLst/>
        </a:prstGeom>
        <a:noFill/>
      </xdr:spPr>
    </xdr:pic>
    <xdr:clientData fLocksWithSheet="0"/>
  </xdr:oneCellAnchor>
  <xdr:oneCellAnchor>
    <xdr:from>
      <xdr:col>2</xdr:col>
      <xdr:colOff>0</xdr:colOff>
      <xdr:row>130</xdr:row>
      <xdr:rowOff>0</xdr:rowOff>
    </xdr:from>
    <xdr:ext cx="3409950" cy="2085975"/>
    <xdr:pic>
      <xdr:nvPicPr>
        <xdr:cNvPr id="193" name="image185.png">
          <a:extLst>
            <a:ext uri="{FF2B5EF4-FFF2-40B4-BE49-F238E27FC236}">
              <a16:creationId xmlns:a16="http://schemas.microsoft.com/office/drawing/2014/main" id="{00000000-0008-0000-0200-0000C1000000}"/>
            </a:ext>
          </a:extLst>
        </xdr:cNvPr>
        <xdr:cNvPicPr preferRelativeResize="0"/>
      </xdr:nvPicPr>
      <xdr:blipFill>
        <a:blip xmlns:r="http://schemas.openxmlformats.org/officeDocument/2006/relationships" r:embed="rId189" cstate="print"/>
        <a:stretch>
          <a:fillRect/>
        </a:stretch>
      </xdr:blipFill>
      <xdr:spPr>
        <a:prstGeom prst="rect">
          <a:avLst/>
        </a:prstGeom>
        <a:noFill/>
      </xdr:spPr>
    </xdr:pic>
    <xdr:clientData fLocksWithSheet="0"/>
  </xdr:oneCellAnchor>
  <xdr:oneCellAnchor>
    <xdr:from>
      <xdr:col>3</xdr:col>
      <xdr:colOff>0</xdr:colOff>
      <xdr:row>130</xdr:row>
      <xdr:rowOff>0</xdr:rowOff>
    </xdr:from>
    <xdr:ext cx="1866900" cy="2085975"/>
    <xdr:pic>
      <xdr:nvPicPr>
        <xdr:cNvPr id="194" name="image227.jpg">
          <a:extLst>
            <a:ext uri="{FF2B5EF4-FFF2-40B4-BE49-F238E27FC236}">
              <a16:creationId xmlns:a16="http://schemas.microsoft.com/office/drawing/2014/main" id="{00000000-0008-0000-0200-0000C2000000}"/>
            </a:ext>
          </a:extLst>
        </xdr:cNvPr>
        <xdr:cNvPicPr preferRelativeResize="0"/>
      </xdr:nvPicPr>
      <xdr:blipFill>
        <a:blip xmlns:r="http://schemas.openxmlformats.org/officeDocument/2006/relationships" r:embed="rId190" cstate="print"/>
        <a:stretch>
          <a:fillRect/>
        </a:stretch>
      </xdr:blipFill>
      <xdr:spPr>
        <a:prstGeom prst="rect">
          <a:avLst/>
        </a:prstGeom>
        <a:noFill/>
      </xdr:spPr>
    </xdr:pic>
    <xdr:clientData fLocksWithSheet="0"/>
  </xdr:oneCellAnchor>
  <xdr:oneCellAnchor>
    <xdr:from>
      <xdr:col>2</xdr:col>
      <xdr:colOff>0</xdr:colOff>
      <xdr:row>131</xdr:row>
      <xdr:rowOff>0</xdr:rowOff>
    </xdr:from>
    <xdr:ext cx="2400300" cy="2085975"/>
    <xdr:pic>
      <xdr:nvPicPr>
        <xdr:cNvPr id="195" name="image193.jpg" descr="57">
          <a:extLst>
            <a:ext uri="{FF2B5EF4-FFF2-40B4-BE49-F238E27FC236}">
              <a16:creationId xmlns:a16="http://schemas.microsoft.com/office/drawing/2014/main" id="{00000000-0008-0000-0200-0000C3000000}"/>
            </a:ext>
          </a:extLst>
        </xdr:cNvPr>
        <xdr:cNvPicPr preferRelativeResize="0"/>
      </xdr:nvPicPr>
      <xdr:blipFill>
        <a:blip xmlns:r="http://schemas.openxmlformats.org/officeDocument/2006/relationships" r:embed="rId191" cstate="print"/>
        <a:stretch>
          <a:fillRect/>
        </a:stretch>
      </xdr:blipFill>
      <xdr:spPr>
        <a:prstGeom prst="rect">
          <a:avLst/>
        </a:prstGeom>
        <a:noFill/>
      </xdr:spPr>
    </xdr:pic>
    <xdr:clientData fLocksWithSheet="0"/>
  </xdr:oneCellAnchor>
  <xdr:oneCellAnchor>
    <xdr:from>
      <xdr:col>3</xdr:col>
      <xdr:colOff>0</xdr:colOff>
      <xdr:row>131</xdr:row>
      <xdr:rowOff>0</xdr:rowOff>
    </xdr:from>
    <xdr:ext cx="3152775" cy="1771650"/>
    <xdr:pic>
      <xdr:nvPicPr>
        <xdr:cNvPr id="196" name="image194.jpg">
          <a:extLst>
            <a:ext uri="{FF2B5EF4-FFF2-40B4-BE49-F238E27FC236}">
              <a16:creationId xmlns:a16="http://schemas.microsoft.com/office/drawing/2014/main" id="{00000000-0008-0000-0200-0000C4000000}"/>
            </a:ext>
          </a:extLst>
        </xdr:cNvPr>
        <xdr:cNvPicPr preferRelativeResize="0"/>
      </xdr:nvPicPr>
      <xdr:blipFill>
        <a:blip xmlns:r="http://schemas.openxmlformats.org/officeDocument/2006/relationships" r:embed="rId192" cstate="print"/>
        <a:stretch>
          <a:fillRect/>
        </a:stretch>
      </xdr:blipFill>
      <xdr:spPr>
        <a:prstGeom prst="rect">
          <a:avLst/>
        </a:prstGeom>
        <a:noFill/>
      </xdr:spPr>
    </xdr:pic>
    <xdr:clientData fLocksWithSheet="0"/>
  </xdr:oneCellAnchor>
  <xdr:oneCellAnchor>
    <xdr:from>
      <xdr:col>2</xdr:col>
      <xdr:colOff>0</xdr:colOff>
      <xdr:row>132</xdr:row>
      <xdr:rowOff>0</xdr:rowOff>
    </xdr:from>
    <xdr:ext cx="2428875" cy="2085975"/>
    <xdr:pic>
      <xdr:nvPicPr>
        <xdr:cNvPr id="197" name="image197.jpg" descr="58">
          <a:extLst>
            <a:ext uri="{FF2B5EF4-FFF2-40B4-BE49-F238E27FC236}">
              <a16:creationId xmlns:a16="http://schemas.microsoft.com/office/drawing/2014/main" id="{00000000-0008-0000-0200-0000C5000000}"/>
            </a:ext>
          </a:extLst>
        </xdr:cNvPr>
        <xdr:cNvPicPr preferRelativeResize="0"/>
      </xdr:nvPicPr>
      <xdr:blipFill>
        <a:blip xmlns:r="http://schemas.openxmlformats.org/officeDocument/2006/relationships" r:embed="rId193" cstate="print"/>
        <a:stretch>
          <a:fillRect/>
        </a:stretch>
      </xdr:blipFill>
      <xdr:spPr>
        <a:prstGeom prst="rect">
          <a:avLst/>
        </a:prstGeom>
        <a:noFill/>
      </xdr:spPr>
    </xdr:pic>
    <xdr:clientData fLocksWithSheet="0"/>
  </xdr:oneCellAnchor>
  <xdr:oneCellAnchor>
    <xdr:from>
      <xdr:col>3</xdr:col>
      <xdr:colOff>0</xdr:colOff>
      <xdr:row>132</xdr:row>
      <xdr:rowOff>0</xdr:rowOff>
    </xdr:from>
    <xdr:ext cx="1762125" cy="2085975"/>
    <xdr:pic>
      <xdr:nvPicPr>
        <xdr:cNvPr id="198" name="image186.jpg">
          <a:extLst>
            <a:ext uri="{FF2B5EF4-FFF2-40B4-BE49-F238E27FC236}">
              <a16:creationId xmlns:a16="http://schemas.microsoft.com/office/drawing/2014/main" id="{00000000-0008-0000-0200-0000C6000000}"/>
            </a:ext>
          </a:extLst>
        </xdr:cNvPr>
        <xdr:cNvPicPr preferRelativeResize="0"/>
      </xdr:nvPicPr>
      <xdr:blipFill>
        <a:blip xmlns:r="http://schemas.openxmlformats.org/officeDocument/2006/relationships" r:embed="rId194" cstate="print"/>
        <a:stretch>
          <a:fillRect/>
        </a:stretch>
      </xdr:blipFill>
      <xdr:spPr>
        <a:prstGeom prst="rect">
          <a:avLst/>
        </a:prstGeom>
        <a:noFill/>
      </xdr:spPr>
    </xdr:pic>
    <xdr:clientData fLocksWithSheet="0"/>
  </xdr:oneCellAnchor>
  <xdr:oneCellAnchor>
    <xdr:from>
      <xdr:col>2</xdr:col>
      <xdr:colOff>0</xdr:colOff>
      <xdr:row>133</xdr:row>
      <xdr:rowOff>0</xdr:rowOff>
    </xdr:from>
    <xdr:ext cx="2428875" cy="2085975"/>
    <xdr:pic>
      <xdr:nvPicPr>
        <xdr:cNvPr id="199" name="image190.jpg" descr="59">
          <a:extLst>
            <a:ext uri="{FF2B5EF4-FFF2-40B4-BE49-F238E27FC236}">
              <a16:creationId xmlns:a16="http://schemas.microsoft.com/office/drawing/2014/main" id="{00000000-0008-0000-0200-0000C7000000}"/>
            </a:ext>
          </a:extLst>
        </xdr:cNvPr>
        <xdr:cNvPicPr preferRelativeResize="0"/>
      </xdr:nvPicPr>
      <xdr:blipFill>
        <a:blip xmlns:r="http://schemas.openxmlformats.org/officeDocument/2006/relationships" r:embed="rId195" cstate="print"/>
        <a:stretch>
          <a:fillRect/>
        </a:stretch>
      </xdr:blipFill>
      <xdr:spPr>
        <a:prstGeom prst="rect">
          <a:avLst/>
        </a:prstGeom>
        <a:noFill/>
      </xdr:spPr>
    </xdr:pic>
    <xdr:clientData fLocksWithSheet="0"/>
  </xdr:oneCellAnchor>
  <xdr:oneCellAnchor>
    <xdr:from>
      <xdr:col>3</xdr:col>
      <xdr:colOff>0</xdr:colOff>
      <xdr:row>133</xdr:row>
      <xdr:rowOff>0</xdr:rowOff>
    </xdr:from>
    <xdr:ext cx="3152775" cy="1771650"/>
    <xdr:pic>
      <xdr:nvPicPr>
        <xdr:cNvPr id="200" name="image201.jpg">
          <a:extLst>
            <a:ext uri="{FF2B5EF4-FFF2-40B4-BE49-F238E27FC236}">
              <a16:creationId xmlns:a16="http://schemas.microsoft.com/office/drawing/2014/main" id="{00000000-0008-0000-0200-0000C8000000}"/>
            </a:ext>
          </a:extLst>
        </xdr:cNvPr>
        <xdr:cNvPicPr preferRelativeResize="0"/>
      </xdr:nvPicPr>
      <xdr:blipFill>
        <a:blip xmlns:r="http://schemas.openxmlformats.org/officeDocument/2006/relationships" r:embed="rId196" cstate="print"/>
        <a:stretch>
          <a:fillRect/>
        </a:stretch>
      </xdr:blipFill>
      <xdr:spPr>
        <a:prstGeom prst="rect">
          <a:avLst/>
        </a:prstGeom>
        <a:noFill/>
      </xdr:spPr>
    </xdr:pic>
    <xdr:clientData fLocksWithSheet="0"/>
  </xdr:oneCellAnchor>
  <xdr:oneCellAnchor>
    <xdr:from>
      <xdr:col>2</xdr:col>
      <xdr:colOff>0</xdr:colOff>
      <xdr:row>134</xdr:row>
      <xdr:rowOff>0</xdr:rowOff>
    </xdr:from>
    <xdr:ext cx="2085975" cy="2085975"/>
    <xdr:pic>
      <xdr:nvPicPr>
        <xdr:cNvPr id="201" name="image202.png">
          <a:extLst>
            <a:ext uri="{FF2B5EF4-FFF2-40B4-BE49-F238E27FC236}">
              <a16:creationId xmlns:a16="http://schemas.microsoft.com/office/drawing/2014/main" id="{00000000-0008-0000-0200-0000C9000000}"/>
            </a:ext>
          </a:extLst>
        </xdr:cNvPr>
        <xdr:cNvPicPr preferRelativeResize="0"/>
      </xdr:nvPicPr>
      <xdr:blipFill>
        <a:blip xmlns:r="http://schemas.openxmlformats.org/officeDocument/2006/relationships" r:embed="rId197" cstate="print"/>
        <a:stretch>
          <a:fillRect/>
        </a:stretch>
      </xdr:blipFill>
      <xdr:spPr>
        <a:prstGeom prst="rect">
          <a:avLst/>
        </a:prstGeom>
        <a:noFill/>
      </xdr:spPr>
    </xdr:pic>
    <xdr:clientData fLocksWithSheet="0"/>
  </xdr:oneCellAnchor>
  <xdr:oneCellAnchor>
    <xdr:from>
      <xdr:col>3</xdr:col>
      <xdr:colOff>0</xdr:colOff>
      <xdr:row>134</xdr:row>
      <xdr:rowOff>0</xdr:rowOff>
    </xdr:from>
    <xdr:ext cx="3152775" cy="1771650"/>
    <xdr:pic>
      <xdr:nvPicPr>
        <xdr:cNvPr id="202" name="image204.jpg">
          <a:extLst>
            <a:ext uri="{FF2B5EF4-FFF2-40B4-BE49-F238E27FC236}">
              <a16:creationId xmlns:a16="http://schemas.microsoft.com/office/drawing/2014/main" id="{00000000-0008-0000-0200-0000CA000000}"/>
            </a:ext>
          </a:extLst>
        </xdr:cNvPr>
        <xdr:cNvPicPr preferRelativeResize="0"/>
      </xdr:nvPicPr>
      <xdr:blipFill>
        <a:blip xmlns:r="http://schemas.openxmlformats.org/officeDocument/2006/relationships" r:embed="rId198" cstate="print"/>
        <a:stretch>
          <a:fillRect/>
        </a:stretch>
      </xdr:blipFill>
      <xdr:spPr>
        <a:prstGeom prst="rect">
          <a:avLst/>
        </a:prstGeom>
        <a:noFill/>
      </xdr:spPr>
    </xdr:pic>
    <xdr:clientData fLocksWithSheet="0"/>
  </xdr:oneCellAnchor>
  <xdr:oneCellAnchor>
    <xdr:from>
      <xdr:col>2</xdr:col>
      <xdr:colOff>0</xdr:colOff>
      <xdr:row>135</xdr:row>
      <xdr:rowOff>0</xdr:rowOff>
    </xdr:from>
    <xdr:ext cx="1971675" cy="2085975"/>
    <xdr:pic>
      <xdr:nvPicPr>
        <xdr:cNvPr id="203" name="image216.png">
          <a:extLst>
            <a:ext uri="{FF2B5EF4-FFF2-40B4-BE49-F238E27FC236}">
              <a16:creationId xmlns:a16="http://schemas.microsoft.com/office/drawing/2014/main" id="{00000000-0008-0000-0200-0000CB000000}"/>
            </a:ext>
          </a:extLst>
        </xdr:cNvPr>
        <xdr:cNvPicPr preferRelativeResize="0"/>
      </xdr:nvPicPr>
      <xdr:blipFill>
        <a:blip xmlns:r="http://schemas.openxmlformats.org/officeDocument/2006/relationships" r:embed="rId199" cstate="print"/>
        <a:stretch>
          <a:fillRect/>
        </a:stretch>
      </xdr:blipFill>
      <xdr:spPr>
        <a:prstGeom prst="rect">
          <a:avLst/>
        </a:prstGeom>
        <a:noFill/>
      </xdr:spPr>
    </xdr:pic>
    <xdr:clientData fLocksWithSheet="0"/>
  </xdr:oneCellAnchor>
  <xdr:oneCellAnchor>
    <xdr:from>
      <xdr:col>3</xdr:col>
      <xdr:colOff>0</xdr:colOff>
      <xdr:row>135</xdr:row>
      <xdr:rowOff>0</xdr:rowOff>
    </xdr:from>
    <xdr:ext cx="3152775" cy="1771650"/>
    <xdr:pic>
      <xdr:nvPicPr>
        <xdr:cNvPr id="204" name="image198.jpg">
          <a:extLst>
            <a:ext uri="{FF2B5EF4-FFF2-40B4-BE49-F238E27FC236}">
              <a16:creationId xmlns:a16="http://schemas.microsoft.com/office/drawing/2014/main" id="{00000000-0008-0000-0200-0000CC000000}"/>
            </a:ext>
          </a:extLst>
        </xdr:cNvPr>
        <xdr:cNvPicPr preferRelativeResize="0"/>
      </xdr:nvPicPr>
      <xdr:blipFill>
        <a:blip xmlns:r="http://schemas.openxmlformats.org/officeDocument/2006/relationships" r:embed="rId200" cstate="print"/>
        <a:stretch>
          <a:fillRect/>
        </a:stretch>
      </xdr:blipFill>
      <xdr:spPr>
        <a:prstGeom prst="rect">
          <a:avLst/>
        </a:prstGeom>
        <a:noFill/>
      </xdr:spPr>
    </xdr:pic>
    <xdr:clientData fLocksWithSheet="0"/>
  </xdr:oneCellAnchor>
  <xdr:oneCellAnchor>
    <xdr:from>
      <xdr:col>2</xdr:col>
      <xdr:colOff>0</xdr:colOff>
      <xdr:row>136</xdr:row>
      <xdr:rowOff>0</xdr:rowOff>
    </xdr:from>
    <xdr:ext cx="2066925" cy="2085975"/>
    <xdr:pic>
      <xdr:nvPicPr>
        <xdr:cNvPr id="205" name="image205.png">
          <a:extLst>
            <a:ext uri="{FF2B5EF4-FFF2-40B4-BE49-F238E27FC236}">
              <a16:creationId xmlns:a16="http://schemas.microsoft.com/office/drawing/2014/main" id="{00000000-0008-0000-0200-0000CD000000}"/>
            </a:ext>
          </a:extLst>
        </xdr:cNvPr>
        <xdr:cNvPicPr preferRelativeResize="0"/>
      </xdr:nvPicPr>
      <xdr:blipFill>
        <a:blip xmlns:r="http://schemas.openxmlformats.org/officeDocument/2006/relationships" r:embed="rId201" cstate="print"/>
        <a:stretch>
          <a:fillRect/>
        </a:stretch>
      </xdr:blipFill>
      <xdr:spPr>
        <a:prstGeom prst="rect">
          <a:avLst/>
        </a:prstGeom>
        <a:noFill/>
      </xdr:spPr>
    </xdr:pic>
    <xdr:clientData fLocksWithSheet="0"/>
  </xdr:oneCellAnchor>
  <xdr:oneCellAnchor>
    <xdr:from>
      <xdr:col>3</xdr:col>
      <xdr:colOff>0</xdr:colOff>
      <xdr:row>136</xdr:row>
      <xdr:rowOff>0</xdr:rowOff>
    </xdr:from>
    <xdr:ext cx="1171575" cy="2085975"/>
    <xdr:pic>
      <xdr:nvPicPr>
        <xdr:cNvPr id="206" name="image203.jpg">
          <a:extLst>
            <a:ext uri="{FF2B5EF4-FFF2-40B4-BE49-F238E27FC236}">
              <a16:creationId xmlns:a16="http://schemas.microsoft.com/office/drawing/2014/main" id="{00000000-0008-0000-0200-0000CE000000}"/>
            </a:ext>
          </a:extLst>
        </xdr:cNvPr>
        <xdr:cNvPicPr preferRelativeResize="0"/>
      </xdr:nvPicPr>
      <xdr:blipFill>
        <a:blip xmlns:r="http://schemas.openxmlformats.org/officeDocument/2006/relationships" r:embed="rId202" cstate="print"/>
        <a:stretch>
          <a:fillRect/>
        </a:stretch>
      </xdr:blipFill>
      <xdr:spPr>
        <a:prstGeom prst="rect">
          <a:avLst/>
        </a:prstGeom>
        <a:noFill/>
      </xdr:spPr>
    </xdr:pic>
    <xdr:clientData fLocksWithSheet="0"/>
  </xdr:oneCellAnchor>
  <xdr:oneCellAnchor>
    <xdr:from>
      <xdr:col>2</xdr:col>
      <xdr:colOff>0</xdr:colOff>
      <xdr:row>137</xdr:row>
      <xdr:rowOff>0</xdr:rowOff>
    </xdr:from>
    <xdr:ext cx="2085975" cy="2085975"/>
    <xdr:pic>
      <xdr:nvPicPr>
        <xdr:cNvPr id="207" name="image196.png">
          <a:extLst>
            <a:ext uri="{FF2B5EF4-FFF2-40B4-BE49-F238E27FC236}">
              <a16:creationId xmlns:a16="http://schemas.microsoft.com/office/drawing/2014/main" id="{00000000-0008-0000-0200-0000CF000000}"/>
            </a:ext>
          </a:extLst>
        </xdr:cNvPr>
        <xdr:cNvPicPr preferRelativeResize="0"/>
      </xdr:nvPicPr>
      <xdr:blipFill>
        <a:blip xmlns:r="http://schemas.openxmlformats.org/officeDocument/2006/relationships" r:embed="rId203" cstate="print"/>
        <a:stretch>
          <a:fillRect/>
        </a:stretch>
      </xdr:blipFill>
      <xdr:spPr>
        <a:prstGeom prst="rect">
          <a:avLst/>
        </a:prstGeom>
        <a:noFill/>
      </xdr:spPr>
    </xdr:pic>
    <xdr:clientData fLocksWithSheet="0"/>
  </xdr:oneCellAnchor>
  <xdr:oneCellAnchor>
    <xdr:from>
      <xdr:col>3</xdr:col>
      <xdr:colOff>0</xdr:colOff>
      <xdr:row>137</xdr:row>
      <xdr:rowOff>0</xdr:rowOff>
    </xdr:from>
    <xdr:ext cx="1171575" cy="2085975"/>
    <xdr:pic>
      <xdr:nvPicPr>
        <xdr:cNvPr id="208" name="image195.jpg">
          <a:extLst>
            <a:ext uri="{FF2B5EF4-FFF2-40B4-BE49-F238E27FC236}">
              <a16:creationId xmlns:a16="http://schemas.microsoft.com/office/drawing/2014/main" id="{00000000-0008-0000-0200-0000D0000000}"/>
            </a:ext>
          </a:extLst>
        </xdr:cNvPr>
        <xdr:cNvPicPr preferRelativeResize="0"/>
      </xdr:nvPicPr>
      <xdr:blipFill>
        <a:blip xmlns:r="http://schemas.openxmlformats.org/officeDocument/2006/relationships" r:embed="rId204" cstate="print"/>
        <a:stretch>
          <a:fillRect/>
        </a:stretch>
      </xdr:blipFill>
      <xdr:spPr>
        <a:prstGeom prst="rect">
          <a:avLst/>
        </a:prstGeom>
        <a:noFill/>
      </xdr:spPr>
    </xdr:pic>
    <xdr:clientData fLocksWithSheet="0"/>
  </xdr:oneCellAnchor>
  <xdr:oneCellAnchor>
    <xdr:from>
      <xdr:col>2</xdr:col>
      <xdr:colOff>0</xdr:colOff>
      <xdr:row>138</xdr:row>
      <xdr:rowOff>0</xdr:rowOff>
    </xdr:from>
    <xdr:ext cx="1371600" cy="2085975"/>
    <xdr:pic>
      <xdr:nvPicPr>
        <xdr:cNvPr id="209" name="image208.png">
          <a:extLst>
            <a:ext uri="{FF2B5EF4-FFF2-40B4-BE49-F238E27FC236}">
              <a16:creationId xmlns:a16="http://schemas.microsoft.com/office/drawing/2014/main" id="{00000000-0008-0000-0200-0000D1000000}"/>
            </a:ext>
          </a:extLst>
        </xdr:cNvPr>
        <xdr:cNvPicPr preferRelativeResize="0"/>
      </xdr:nvPicPr>
      <xdr:blipFill>
        <a:blip xmlns:r="http://schemas.openxmlformats.org/officeDocument/2006/relationships" r:embed="rId205" cstate="print"/>
        <a:stretch>
          <a:fillRect/>
        </a:stretch>
      </xdr:blipFill>
      <xdr:spPr>
        <a:prstGeom prst="rect">
          <a:avLst/>
        </a:prstGeom>
        <a:noFill/>
      </xdr:spPr>
    </xdr:pic>
    <xdr:clientData fLocksWithSheet="0"/>
  </xdr:oneCellAnchor>
  <xdr:oneCellAnchor>
    <xdr:from>
      <xdr:col>3</xdr:col>
      <xdr:colOff>0</xdr:colOff>
      <xdr:row>138</xdr:row>
      <xdr:rowOff>0</xdr:rowOff>
    </xdr:from>
    <xdr:ext cx="1171575" cy="2085975"/>
    <xdr:pic>
      <xdr:nvPicPr>
        <xdr:cNvPr id="210" name="image214.jpg">
          <a:extLst>
            <a:ext uri="{FF2B5EF4-FFF2-40B4-BE49-F238E27FC236}">
              <a16:creationId xmlns:a16="http://schemas.microsoft.com/office/drawing/2014/main" id="{00000000-0008-0000-0200-0000D2000000}"/>
            </a:ext>
          </a:extLst>
        </xdr:cNvPr>
        <xdr:cNvPicPr preferRelativeResize="0"/>
      </xdr:nvPicPr>
      <xdr:blipFill>
        <a:blip xmlns:r="http://schemas.openxmlformats.org/officeDocument/2006/relationships" r:embed="rId206" cstate="print"/>
        <a:stretch>
          <a:fillRect/>
        </a:stretch>
      </xdr:blipFill>
      <xdr:spPr>
        <a:prstGeom prst="rect">
          <a:avLst/>
        </a:prstGeom>
        <a:noFill/>
      </xdr:spPr>
    </xdr:pic>
    <xdr:clientData fLocksWithSheet="0"/>
  </xdr:oneCellAnchor>
  <xdr:oneCellAnchor>
    <xdr:from>
      <xdr:col>2</xdr:col>
      <xdr:colOff>0</xdr:colOff>
      <xdr:row>139</xdr:row>
      <xdr:rowOff>0</xdr:rowOff>
    </xdr:from>
    <xdr:ext cx="3600450" cy="1971675"/>
    <xdr:pic>
      <xdr:nvPicPr>
        <xdr:cNvPr id="211" name="image209.png">
          <a:extLst>
            <a:ext uri="{FF2B5EF4-FFF2-40B4-BE49-F238E27FC236}">
              <a16:creationId xmlns:a16="http://schemas.microsoft.com/office/drawing/2014/main" id="{00000000-0008-0000-0200-0000D3000000}"/>
            </a:ext>
          </a:extLst>
        </xdr:cNvPr>
        <xdr:cNvPicPr preferRelativeResize="0"/>
      </xdr:nvPicPr>
      <xdr:blipFill>
        <a:blip xmlns:r="http://schemas.openxmlformats.org/officeDocument/2006/relationships" r:embed="rId207" cstate="print"/>
        <a:stretch>
          <a:fillRect/>
        </a:stretch>
      </xdr:blipFill>
      <xdr:spPr>
        <a:prstGeom prst="rect">
          <a:avLst/>
        </a:prstGeom>
        <a:noFill/>
      </xdr:spPr>
    </xdr:pic>
    <xdr:clientData fLocksWithSheet="0"/>
  </xdr:oneCellAnchor>
  <xdr:oneCellAnchor>
    <xdr:from>
      <xdr:col>3</xdr:col>
      <xdr:colOff>0</xdr:colOff>
      <xdr:row>139</xdr:row>
      <xdr:rowOff>0</xdr:rowOff>
    </xdr:from>
    <xdr:ext cx="1171575" cy="2085975"/>
    <xdr:pic>
      <xdr:nvPicPr>
        <xdr:cNvPr id="212" name="image200.jpg">
          <a:extLst>
            <a:ext uri="{FF2B5EF4-FFF2-40B4-BE49-F238E27FC236}">
              <a16:creationId xmlns:a16="http://schemas.microsoft.com/office/drawing/2014/main" id="{00000000-0008-0000-0200-0000D4000000}"/>
            </a:ext>
          </a:extLst>
        </xdr:cNvPr>
        <xdr:cNvPicPr preferRelativeResize="0"/>
      </xdr:nvPicPr>
      <xdr:blipFill>
        <a:blip xmlns:r="http://schemas.openxmlformats.org/officeDocument/2006/relationships" r:embed="rId208" cstate="print"/>
        <a:stretch>
          <a:fillRect/>
        </a:stretch>
      </xdr:blipFill>
      <xdr:spPr>
        <a:prstGeom prst="rect">
          <a:avLst/>
        </a:prstGeom>
        <a:noFill/>
      </xdr:spPr>
    </xdr:pic>
    <xdr:clientData fLocksWithSheet="0"/>
  </xdr:oneCellAnchor>
  <xdr:oneCellAnchor>
    <xdr:from>
      <xdr:col>2</xdr:col>
      <xdr:colOff>0</xdr:colOff>
      <xdr:row>140</xdr:row>
      <xdr:rowOff>0</xdr:rowOff>
    </xdr:from>
    <xdr:ext cx="2085975" cy="2085975"/>
    <xdr:pic>
      <xdr:nvPicPr>
        <xdr:cNvPr id="213" name="image219.png">
          <a:extLst>
            <a:ext uri="{FF2B5EF4-FFF2-40B4-BE49-F238E27FC236}">
              <a16:creationId xmlns:a16="http://schemas.microsoft.com/office/drawing/2014/main" id="{00000000-0008-0000-0200-0000D5000000}"/>
            </a:ext>
          </a:extLst>
        </xdr:cNvPr>
        <xdr:cNvPicPr preferRelativeResize="0"/>
      </xdr:nvPicPr>
      <xdr:blipFill>
        <a:blip xmlns:r="http://schemas.openxmlformats.org/officeDocument/2006/relationships" r:embed="rId209" cstate="print"/>
        <a:stretch>
          <a:fillRect/>
        </a:stretch>
      </xdr:blipFill>
      <xdr:spPr>
        <a:prstGeom prst="rect">
          <a:avLst/>
        </a:prstGeom>
        <a:noFill/>
      </xdr:spPr>
    </xdr:pic>
    <xdr:clientData fLocksWithSheet="0"/>
  </xdr:oneCellAnchor>
  <xdr:oneCellAnchor>
    <xdr:from>
      <xdr:col>3</xdr:col>
      <xdr:colOff>0</xdr:colOff>
      <xdr:row>140</xdr:row>
      <xdr:rowOff>0</xdr:rowOff>
    </xdr:from>
    <xdr:ext cx="3152775" cy="1771650"/>
    <xdr:pic>
      <xdr:nvPicPr>
        <xdr:cNvPr id="214" name="image215.jpg">
          <a:extLst>
            <a:ext uri="{FF2B5EF4-FFF2-40B4-BE49-F238E27FC236}">
              <a16:creationId xmlns:a16="http://schemas.microsoft.com/office/drawing/2014/main" id="{00000000-0008-0000-0200-0000D6000000}"/>
            </a:ext>
          </a:extLst>
        </xdr:cNvPr>
        <xdr:cNvPicPr preferRelativeResize="0"/>
      </xdr:nvPicPr>
      <xdr:blipFill>
        <a:blip xmlns:r="http://schemas.openxmlformats.org/officeDocument/2006/relationships" r:embed="rId210" cstate="print"/>
        <a:stretch>
          <a:fillRect/>
        </a:stretch>
      </xdr:blipFill>
      <xdr:spPr>
        <a:prstGeom prst="rect">
          <a:avLst/>
        </a:prstGeom>
        <a:noFill/>
      </xdr:spPr>
    </xdr:pic>
    <xdr:clientData fLocksWithSheet="0"/>
  </xdr:oneCellAnchor>
  <xdr:oneCellAnchor>
    <xdr:from>
      <xdr:col>2</xdr:col>
      <xdr:colOff>0</xdr:colOff>
      <xdr:row>141</xdr:row>
      <xdr:rowOff>0</xdr:rowOff>
    </xdr:from>
    <xdr:ext cx="1447800" cy="2085975"/>
    <xdr:pic>
      <xdr:nvPicPr>
        <xdr:cNvPr id="215" name="image199.png">
          <a:extLst>
            <a:ext uri="{FF2B5EF4-FFF2-40B4-BE49-F238E27FC236}">
              <a16:creationId xmlns:a16="http://schemas.microsoft.com/office/drawing/2014/main" id="{00000000-0008-0000-0200-0000D7000000}"/>
            </a:ext>
          </a:extLst>
        </xdr:cNvPr>
        <xdr:cNvPicPr preferRelativeResize="0"/>
      </xdr:nvPicPr>
      <xdr:blipFill>
        <a:blip xmlns:r="http://schemas.openxmlformats.org/officeDocument/2006/relationships" r:embed="rId211" cstate="print"/>
        <a:stretch>
          <a:fillRect/>
        </a:stretch>
      </xdr:blipFill>
      <xdr:spPr>
        <a:prstGeom prst="rect">
          <a:avLst/>
        </a:prstGeom>
        <a:noFill/>
      </xdr:spPr>
    </xdr:pic>
    <xdr:clientData fLocksWithSheet="0"/>
  </xdr:oneCellAnchor>
  <xdr:oneCellAnchor>
    <xdr:from>
      <xdr:col>3</xdr:col>
      <xdr:colOff>0</xdr:colOff>
      <xdr:row>141</xdr:row>
      <xdr:rowOff>0</xdr:rowOff>
    </xdr:from>
    <xdr:ext cx="1171575" cy="2085975"/>
    <xdr:pic>
      <xdr:nvPicPr>
        <xdr:cNvPr id="216" name="image207.jpg">
          <a:extLst>
            <a:ext uri="{FF2B5EF4-FFF2-40B4-BE49-F238E27FC236}">
              <a16:creationId xmlns:a16="http://schemas.microsoft.com/office/drawing/2014/main" id="{00000000-0008-0000-0200-0000D8000000}"/>
            </a:ext>
          </a:extLst>
        </xdr:cNvPr>
        <xdr:cNvPicPr preferRelativeResize="0"/>
      </xdr:nvPicPr>
      <xdr:blipFill>
        <a:blip xmlns:r="http://schemas.openxmlformats.org/officeDocument/2006/relationships" r:embed="rId212" cstate="print"/>
        <a:stretch>
          <a:fillRect/>
        </a:stretch>
      </xdr:blipFill>
      <xdr:spPr>
        <a:prstGeom prst="rect">
          <a:avLst/>
        </a:prstGeom>
        <a:noFill/>
      </xdr:spPr>
    </xdr:pic>
    <xdr:clientData fLocksWithSheet="0"/>
  </xdr:oneCellAnchor>
  <xdr:oneCellAnchor>
    <xdr:from>
      <xdr:col>2</xdr:col>
      <xdr:colOff>0</xdr:colOff>
      <xdr:row>142</xdr:row>
      <xdr:rowOff>0</xdr:rowOff>
    </xdr:from>
    <xdr:ext cx="2114550" cy="2085975"/>
    <xdr:pic>
      <xdr:nvPicPr>
        <xdr:cNvPr id="217" name="image228.png">
          <a:extLst>
            <a:ext uri="{FF2B5EF4-FFF2-40B4-BE49-F238E27FC236}">
              <a16:creationId xmlns:a16="http://schemas.microsoft.com/office/drawing/2014/main" id="{00000000-0008-0000-0200-0000D9000000}"/>
            </a:ext>
          </a:extLst>
        </xdr:cNvPr>
        <xdr:cNvPicPr preferRelativeResize="0"/>
      </xdr:nvPicPr>
      <xdr:blipFill>
        <a:blip xmlns:r="http://schemas.openxmlformats.org/officeDocument/2006/relationships" r:embed="rId213" cstate="print"/>
        <a:stretch>
          <a:fillRect/>
        </a:stretch>
      </xdr:blipFill>
      <xdr:spPr>
        <a:prstGeom prst="rect">
          <a:avLst/>
        </a:prstGeom>
        <a:noFill/>
      </xdr:spPr>
    </xdr:pic>
    <xdr:clientData fLocksWithSheet="0"/>
  </xdr:oneCellAnchor>
  <xdr:oneCellAnchor>
    <xdr:from>
      <xdr:col>3</xdr:col>
      <xdr:colOff>0</xdr:colOff>
      <xdr:row>142</xdr:row>
      <xdr:rowOff>0</xdr:rowOff>
    </xdr:from>
    <xdr:ext cx="1171575" cy="2085975"/>
    <xdr:pic>
      <xdr:nvPicPr>
        <xdr:cNvPr id="218" name="image218.jpg">
          <a:extLst>
            <a:ext uri="{FF2B5EF4-FFF2-40B4-BE49-F238E27FC236}">
              <a16:creationId xmlns:a16="http://schemas.microsoft.com/office/drawing/2014/main" id="{00000000-0008-0000-0200-0000DA000000}"/>
            </a:ext>
          </a:extLst>
        </xdr:cNvPr>
        <xdr:cNvPicPr preferRelativeResize="0"/>
      </xdr:nvPicPr>
      <xdr:blipFill>
        <a:blip xmlns:r="http://schemas.openxmlformats.org/officeDocument/2006/relationships" r:embed="rId214" cstate="print"/>
        <a:stretch>
          <a:fillRect/>
        </a:stretch>
      </xdr:blipFill>
      <xdr:spPr>
        <a:prstGeom prst="rect">
          <a:avLst/>
        </a:prstGeom>
        <a:noFill/>
      </xdr:spPr>
    </xdr:pic>
    <xdr:clientData fLocksWithSheet="0"/>
  </xdr:oneCellAnchor>
  <xdr:oneCellAnchor>
    <xdr:from>
      <xdr:col>2</xdr:col>
      <xdr:colOff>0</xdr:colOff>
      <xdr:row>143</xdr:row>
      <xdr:rowOff>0</xdr:rowOff>
    </xdr:from>
    <xdr:ext cx="1914525" cy="2085975"/>
    <xdr:pic>
      <xdr:nvPicPr>
        <xdr:cNvPr id="219" name="image210.png">
          <a:extLst>
            <a:ext uri="{FF2B5EF4-FFF2-40B4-BE49-F238E27FC236}">
              <a16:creationId xmlns:a16="http://schemas.microsoft.com/office/drawing/2014/main" id="{00000000-0008-0000-0200-0000DB000000}"/>
            </a:ext>
          </a:extLst>
        </xdr:cNvPr>
        <xdr:cNvPicPr preferRelativeResize="0"/>
      </xdr:nvPicPr>
      <xdr:blipFill>
        <a:blip xmlns:r="http://schemas.openxmlformats.org/officeDocument/2006/relationships" r:embed="rId215" cstate="print"/>
        <a:stretch>
          <a:fillRect/>
        </a:stretch>
      </xdr:blipFill>
      <xdr:spPr>
        <a:prstGeom prst="rect">
          <a:avLst/>
        </a:prstGeom>
        <a:noFill/>
      </xdr:spPr>
    </xdr:pic>
    <xdr:clientData fLocksWithSheet="0"/>
  </xdr:oneCellAnchor>
  <xdr:oneCellAnchor>
    <xdr:from>
      <xdr:col>3</xdr:col>
      <xdr:colOff>0</xdr:colOff>
      <xdr:row>143</xdr:row>
      <xdr:rowOff>0</xdr:rowOff>
    </xdr:from>
    <xdr:ext cx="3152775" cy="1771650"/>
    <xdr:pic>
      <xdr:nvPicPr>
        <xdr:cNvPr id="220" name="image225.jpg">
          <a:extLst>
            <a:ext uri="{FF2B5EF4-FFF2-40B4-BE49-F238E27FC236}">
              <a16:creationId xmlns:a16="http://schemas.microsoft.com/office/drawing/2014/main" id="{00000000-0008-0000-0200-0000DC000000}"/>
            </a:ext>
          </a:extLst>
        </xdr:cNvPr>
        <xdr:cNvPicPr preferRelativeResize="0"/>
      </xdr:nvPicPr>
      <xdr:blipFill>
        <a:blip xmlns:r="http://schemas.openxmlformats.org/officeDocument/2006/relationships" r:embed="rId216" cstate="print"/>
        <a:stretch>
          <a:fillRect/>
        </a:stretch>
      </xdr:blipFill>
      <xdr:spPr>
        <a:prstGeom prst="rect">
          <a:avLst/>
        </a:prstGeom>
        <a:noFill/>
      </xdr:spPr>
    </xdr:pic>
    <xdr:clientData fLocksWithSheet="0"/>
  </xdr:oneCellAnchor>
  <xdr:oneCellAnchor>
    <xdr:from>
      <xdr:col>2</xdr:col>
      <xdr:colOff>0</xdr:colOff>
      <xdr:row>144</xdr:row>
      <xdr:rowOff>0</xdr:rowOff>
    </xdr:from>
    <xdr:ext cx="2057400" cy="2085975"/>
    <xdr:pic>
      <xdr:nvPicPr>
        <xdr:cNvPr id="221" name="image211.png">
          <a:extLst>
            <a:ext uri="{FF2B5EF4-FFF2-40B4-BE49-F238E27FC236}">
              <a16:creationId xmlns:a16="http://schemas.microsoft.com/office/drawing/2014/main" id="{00000000-0008-0000-0200-0000DD000000}"/>
            </a:ext>
          </a:extLst>
        </xdr:cNvPr>
        <xdr:cNvPicPr preferRelativeResize="0"/>
      </xdr:nvPicPr>
      <xdr:blipFill>
        <a:blip xmlns:r="http://schemas.openxmlformats.org/officeDocument/2006/relationships" r:embed="rId217" cstate="print"/>
        <a:stretch>
          <a:fillRect/>
        </a:stretch>
      </xdr:blipFill>
      <xdr:spPr>
        <a:prstGeom prst="rect">
          <a:avLst/>
        </a:prstGeom>
        <a:noFill/>
      </xdr:spPr>
    </xdr:pic>
    <xdr:clientData fLocksWithSheet="0"/>
  </xdr:oneCellAnchor>
  <xdr:oneCellAnchor>
    <xdr:from>
      <xdr:col>3</xdr:col>
      <xdr:colOff>0</xdr:colOff>
      <xdr:row>144</xdr:row>
      <xdr:rowOff>0</xdr:rowOff>
    </xdr:from>
    <xdr:ext cx="1171575" cy="2085975"/>
    <xdr:pic>
      <xdr:nvPicPr>
        <xdr:cNvPr id="222" name="image224.jpg">
          <a:extLst>
            <a:ext uri="{FF2B5EF4-FFF2-40B4-BE49-F238E27FC236}">
              <a16:creationId xmlns:a16="http://schemas.microsoft.com/office/drawing/2014/main" id="{00000000-0008-0000-0200-0000DE000000}"/>
            </a:ext>
          </a:extLst>
        </xdr:cNvPr>
        <xdr:cNvPicPr preferRelativeResize="0"/>
      </xdr:nvPicPr>
      <xdr:blipFill>
        <a:blip xmlns:r="http://schemas.openxmlformats.org/officeDocument/2006/relationships" r:embed="rId218" cstate="print"/>
        <a:stretch>
          <a:fillRect/>
        </a:stretch>
      </xdr:blipFill>
      <xdr:spPr>
        <a:prstGeom prst="rect">
          <a:avLst/>
        </a:prstGeom>
        <a:noFill/>
      </xdr:spPr>
    </xdr:pic>
    <xdr:clientData fLocksWithSheet="0"/>
  </xdr:oneCellAnchor>
  <xdr:oneCellAnchor>
    <xdr:from>
      <xdr:col>2</xdr:col>
      <xdr:colOff>0</xdr:colOff>
      <xdr:row>145</xdr:row>
      <xdr:rowOff>0</xdr:rowOff>
    </xdr:from>
    <xdr:ext cx="2286000" cy="2085975"/>
    <xdr:pic>
      <xdr:nvPicPr>
        <xdr:cNvPr id="223" name="image222.png">
          <a:extLst>
            <a:ext uri="{FF2B5EF4-FFF2-40B4-BE49-F238E27FC236}">
              <a16:creationId xmlns:a16="http://schemas.microsoft.com/office/drawing/2014/main" id="{00000000-0008-0000-0200-0000DF000000}"/>
            </a:ext>
          </a:extLst>
        </xdr:cNvPr>
        <xdr:cNvPicPr preferRelativeResize="0"/>
      </xdr:nvPicPr>
      <xdr:blipFill>
        <a:blip xmlns:r="http://schemas.openxmlformats.org/officeDocument/2006/relationships" r:embed="rId219" cstate="print"/>
        <a:stretch>
          <a:fillRect/>
        </a:stretch>
      </xdr:blipFill>
      <xdr:spPr>
        <a:prstGeom prst="rect">
          <a:avLst/>
        </a:prstGeom>
        <a:noFill/>
      </xdr:spPr>
    </xdr:pic>
    <xdr:clientData fLocksWithSheet="0"/>
  </xdr:oneCellAnchor>
  <xdr:oneCellAnchor>
    <xdr:from>
      <xdr:col>3</xdr:col>
      <xdr:colOff>0</xdr:colOff>
      <xdr:row>145</xdr:row>
      <xdr:rowOff>0</xdr:rowOff>
    </xdr:from>
    <xdr:ext cx="1171575" cy="2085975"/>
    <xdr:pic>
      <xdr:nvPicPr>
        <xdr:cNvPr id="224" name="image230.jpg">
          <a:extLst>
            <a:ext uri="{FF2B5EF4-FFF2-40B4-BE49-F238E27FC236}">
              <a16:creationId xmlns:a16="http://schemas.microsoft.com/office/drawing/2014/main" id="{00000000-0008-0000-0200-0000E0000000}"/>
            </a:ext>
          </a:extLst>
        </xdr:cNvPr>
        <xdr:cNvPicPr preferRelativeResize="0"/>
      </xdr:nvPicPr>
      <xdr:blipFill>
        <a:blip xmlns:r="http://schemas.openxmlformats.org/officeDocument/2006/relationships" r:embed="rId220" cstate="print"/>
        <a:stretch>
          <a:fillRect/>
        </a:stretch>
      </xdr:blipFill>
      <xdr:spPr>
        <a:prstGeom prst="rect">
          <a:avLst/>
        </a:prstGeom>
        <a:noFill/>
      </xdr:spPr>
    </xdr:pic>
    <xdr:clientData fLocksWithSheet="0"/>
  </xdr:oneCellAnchor>
  <xdr:oneCellAnchor>
    <xdr:from>
      <xdr:col>2</xdr:col>
      <xdr:colOff>0</xdr:colOff>
      <xdr:row>146</xdr:row>
      <xdr:rowOff>0</xdr:rowOff>
    </xdr:from>
    <xdr:ext cx="1876425" cy="2085975"/>
    <xdr:pic>
      <xdr:nvPicPr>
        <xdr:cNvPr id="225" name="image206.png">
          <a:extLst>
            <a:ext uri="{FF2B5EF4-FFF2-40B4-BE49-F238E27FC236}">
              <a16:creationId xmlns:a16="http://schemas.microsoft.com/office/drawing/2014/main" id="{00000000-0008-0000-0200-0000E1000000}"/>
            </a:ext>
          </a:extLst>
        </xdr:cNvPr>
        <xdr:cNvPicPr preferRelativeResize="0"/>
      </xdr:nvPicPr>
      <xdr:blipFill>
        <a:blip xmlns:r="http://schemas.openxmlformats.org/officeDocument/2006/relationships" r:embed="rId221" cstate="print"/>
        <a:stretch>
          <a:fillRect/>
        </a:stretch>
      </xdr:blipFill>
      <xdr:spPr>
        <a:prstGeom prst="rect">
          <a:avLst/>
        </a:prstGeom>
        <a:noFill/>
      </xdr:spPr>
    </xdr:pic>
    <xdr:clientData fLocksWithSheet="0"/>
  </xdr:oneCellAnchor>
  <xdr:oneCellAnchor>
    <xdr:from>
      <xdr:col>3</xdr:col>
      <xdr:colOff>0</xdr:colOff>
      <xdr:row>146</xdr:row>
      <xdr:rowOff>0</xdr:rowOff>
    </xdr:from>
    <xdr:ext cx="1724025" cy="2085975"/>
    <xdr:pic>
      <xdr:nvPicPr>
        <xdr:cNvPr id="226" name="image220.jpg">
          <a:extLst>
            <a:ext uri="{FF2B5EF4-FFF2-40B4-BE49-F238E27FC236}">
              <a16:creationId xmlns:a16="http://schemas.microsoft.com/office/drawing/2014/main" id="{00000000-0008-0000-0200-0000E2000000}"/>
            </a:ext>
          </a:extLst>
        </xdr:cNvPr>
        <xdr:cNvPicPr preferRelativeResize="0"/>
      </xdr:nvPicPr>
      <xdr:blipFill>
        <a:blip xmlns:r="http://schemas.openxmlformats.org/officeDocument/2006/relationships" r:embed="rId222" cstate="print"/>
        <a:stretch>
          <a:fillRect/>
        </a:stretch>
      </xdr:blipFill>
      <xdr:spPr>
        <a:prstGeom prst="rect">
          <a:avLst/>
        </a:prstGeom>
        <a:noFill/>
      </xdr:spPr>
    </xdr:pic>
    <xdr:clientData fLocksWithSheet="0"/>
  </xdr:oneCellAnchor>
  <xdr:oneCellAnchor>
    <xdr:from>
      <xdr:col>2</xdr:col>
      <xdr:colOff>0</xdr:colOff>
      <xdr:row>147</xdr:row>
      <xdr:rowOff>0</xdr:rowOff>
    </xdr:from>
    <xdr:ext cx="2428875" cy="2085975"/>
    <xdr:pic>
      <xdr:nvPicPr>
        <xdr:cNvPr id="227" name="image226.png">
          <a:extLst>
            <a:ext uri="{FF2B5EF4-FFF2-40B4-BE49-F238E27FC236}">
              <a16:creationId xmlns:a16="http://schemas.microsoft.com/office/drawing/2014/main" id="{00000000-0008-0000-0200-0000E3000000}"/>
            </a:ext>
          </a:extLst>
        </xdr:cNvPr>
        <xdr:cNvPicPr preferRelativeResize="0"/>
      </xdr:nvPicPr>
      <xdr:blipFill>
        <a:blip xmlns:r="http://schemas.openxmlformats.org/officeDocument/2006/relationships" r:embed="rId223" cstate="print"/>
        <a:stretch>
          <a:fillRect/>
        </a:stretch>
      </xdr:blipFill>
      <xdr:spPr>
        <a:prstGeom prst="rect">
          <a:avLst/>
        </a:prstGeom>
        <a:noFill/>
      </xdr:spPr>
    </xdr:pic>
    <xdr:clientData fLocksWithSheet="0"/>
  </xdr:oneCellAnchor>
  <xdr:oneCellAnchor>
    <xdr:from>
      <xdr:col>3</xdr:col>
      <xdr:colOff>0</xdr:colOff>
      <xdr:row>147</xdr:row>
      <xdr:rowOff>0</xdr:rowOff>
    </xdr:from>
    <xdr:ext cx="3152775" cy="1771650"/>
    <xdr:pic>
      <xdr:nvPicPr>
        <xdr:cNvPr id="228" name="image213.jpg">
          <a:extLst>
            <a:ext uri="{FF2B5EF4-FFF2-40B4-BE49-F238E27FC236}">
              <a16:creationId xmlns:a16="http://schemas.microsoft.com/office/drawing/2014/main" id="{00000000-0008-0000-0200-0000E4000000}"/>
            </a:ext>
          </a:extLst>
        </xdr:cNvPr>
        <xdr:cNvPicPr preferRelativeResize="0"/>
      </xdr:nvPicPr>
      <xdr:blipFill>
        <a:blip xmlns:r="http://schemas.openxmlformats.org/officeDocument/2006/relationships" r:embed="rId224" cstate="print"/>
        <a:stretch>
          <a:fillRect/>
        </a:stretch>
      </xdr:blipFill>
      <xdr:spPr>
        <a:prstGeom prst="rect">
          <a:avLst/>
        </a:prstGeom>
        <a:noFill/>
      </xdr:spPr>
    </xdr:pic>
    <xdr:clientData fLocksWithSheet="0"/>
  </xdr:oneCellAnchor>
  <xdr:oneCellAnchor>
    <xdr:from>
      <xdr:col>2</xdr:col>
      <xdr:colOff>0</xdr:colOff>
      <xdr:row>148</xdr:row>
      <xdr:rowOff>0</xdr:rowOff>
    </xdr:from>
    <xdr:ext cx="2133600" cy="2085975"/>
    <xdr:pic>
      <xdr:nvPicPr>
        <xdr:cNvPr id="229" name="image212.png">
          <a:extLst>
            <a:ext uri="{FF2B5EF4-FFF2-40B4-BE49-F238E27FC236}">
              <a16:creationId xmlns:a16="http://schemas.microsoft.com/office/drawing/2014/main" id="{00000000-0008-0000-0200-0000E5000000}"/>
            </a:ext>
          </a:extLst>
        </xdr:cNvPr>
        <xdr:cNvPicPr preferRelativeResize="0"/>
      </xdr:nvPicPr>
      <xdr:blipFill>
        <a:blip xmlns:r="http://schemas.openxmlformats.org/officeDocument/2006/relationships" r:embed="rId225" cstate="print"/>
        <a:stretch>
          <a:fillRect/>
        </a:stretch>
      </xdr:blipFill>
      <xdr:spPr>
        <a:prstGeom prst="rect">
          <a:avLst/>
        </a:prstGeom>
        <a:noFill/>
      </xdr:spPr>
    </xdr:pic>
    <xdr:clientData fLocksWithSheet="0"/>
  </xdr:oneCellAnchor>
  <xdr:oneCellAnchor>
    <xdr:from>
      <xdr:col>3</xdr:col>
      <xdr:colOff>0</xdr:colOff>
      <xdr:row>148</xdr:row>
      <xdr:rowOff>0</xdr:rowOff>
    </xdr:from>
    <xdr:ext cx="3152775" cy="1371600"/>
    <xdr:pic>
      <xdr:nvPicPr>
        <xdr:cNvPr id="230" name="image217.jpg">
          <a:extLst>
            <a:ext uri="{FF2B5EF4-FFF2-40B4-BE49-F238E27FC236}">
              <a16:creationId xmlns:a16="http://schemas.microsoft.com/office/drawing/2014/main" id="{00000000-0008-0000-0200-0000E6000000}"/>
            </a:ext>
          </a:extLst>
        </xdr:cNvPr>
        <xdr:cNvPicPr preferRelativeResize="0"/>
      </xdr:nvPicPr>
      <xdr:blipFill>
        <a:blip xmlns:r="http://schemas.openxmlformats.org/officeDocument/2006/relationships" r:embed="rId226" cstate="print"/>
        <a:stretch>
          <a:fillRect/>
        </a:stretch>
      </xdr:blipFill>
      <xdr:spPr>
        <a:prstGeom prst="rect">
          <a:avLst/>
        </a:prstGeom>
        <a:noFill/>
      </xdr:spPr>
    </xdr:pic>
    <xdr:clientData fLocksWithSheet="0"/>
  </xdr:oneCellAnchor>
  <xdr:oneCellAnchor>
    <xdr:from>
      <xdr:col>2</xdr:col>
      <xdr:colOff>0</xdr:colOff>
      <xdr:row>149</xdr:row>
      <xdr:rowOff>0</xdr:rowOff>
    </xdr:from>
    <xdr:ext cx="2857500" cy="2085975"/>
    <xdr:pic>
      <xdr:nvPicPr>
        <xdr:cNvPr id="231" name="image233.png">
          <a:extLst>
            <a:ext uri="{FF2B5EF4-FFF2-40B4-BE49-F238E27FC236}">
              <a16:creationId xmlns:a16="http://schemas.microsoft.com/office/drawing/2014/main" id="{00000000-0008-0000-0200-0000E7000000}"/>
            </a:ext>
          </a:extLst>
        </xdr:cNvPr>
        <xdr:cNvPicPr preferRelativeResize="0"/>
      </xdr:nvPicPr>
      <xdr:blipFill>
        <a:blip xmlns:r="http://schemas.openxmlformats.org/officeDocument/2006/relationships" r:embed="rId227" cstate="print"/>
        <a:stretch>
          <a:fillRect/>
        </a:stretch>
      </xdr:blipFill>
      <xdr:spPr>
        <a:prstGeom prst="rect">
          <a:avLst/>
        </a:prstGeom>
        <a:noFill/>
      </xdr:spPr>
    </xdr:pic>
    <xdr:clientData fLocksWithSheet="0"/>
  </xdr:oneCellAnchor>
  <xdr:oneCellAnchor>
    <xdr:from>
      <xdr:col>3</xdr:col>
      <xdr:colOff>0</xdr:colOff>
      <xdr:row>149</xdr:row>
      <xdr:rowOff>0</xdr:rowOff>
    </xdr:from>
    <xdr:ext cx="3152775" cy="1771650"/>
    <xdr:pic>
      <xdr:nvPicPr>
        <xdr:cNvPr id="232" name="image221.jpg">
          <a:extLst>
            <a:ext uri="{FF2B5EF4-FFF2-40B4-BE49-F238E27FC236}">
              <a16:creationId xmlns:a16="http://schemas.microsoft.com/office/drawing/2014/main" id="{00000000-0008-0000-0200-0000E8000000}"/>
            </a:ext>
          </a:extLst>
        </xdr:cNvPr>
        <xdr:cNvPicPr preferRelativeResize="0"/>
      </xdr:nvPicPr>
      <xdr:blipFill>
        <a:blip xmlns:r="http://schemas.openxmlformats.org/officeDocument/2006/relationships" r:embed="rId228" cstate="print"/>
        <a:stretch>
          <a:fillRect/>
        </a:stretch>
      </xdr:blipFill>
      <xdr:spPr>
        <a:prstGeom prst="rect">
          <a:avLst/>
        </a:prstGeom>
        <a:noFill/>
      </xdr:spPr>
    </xdr:pic>
    <xdr:clientData fLocksWithSheet="0"/>
  </xdr:oneCellAnchor>
  <xdr:oneCellAnchor>
    <xdr:from>
      <xdr:col>2</xdr:col>
      <xdr:colOff>0</xdr:colOff>
      <xdr:row>150</xdr:row>
      <xdr:rowOff>0</xdr:rowOff>
    </xdr:from>
    <xdr:ext cx="2952750" cy="2085975"/>
    <xdr:pic>
      <xdr:nvPicPr>
        <xdr:cNvPr id="233" name="image223.png">
          <a:extLst>
            <a:ext uri="{FF2B5EF4-FFF2-40B4-BE49-F238E27FC236}">
              <a16:creationId xmlns:a16="http://schemas.microsoft.com/office/drawing/2014/main" id="{00000000-0008-0000-0200-0000E9000000}"/>
            </a:ext>
          </a:extLst>
        </xdr:cNvPr>
        <xdr:cNvPicPr preferRelativeResize="0"/>
      </xdr:nvPicPr>
      <xdr:blipFill>
        <a:blip xmlns:r="http://schemas.openxmlformats.org/officeDocument/2006/relationships" r:embed="rId229" cstate="print"/>
        <a:stretch>
          <a:fillRect/>
        </a:stretch>
      </xdr:blipFill>
      <xdr:spPr>
        <a:prstGeom prst="rect">
          <a:avLst/>
        </a:prstGeom>
        <a:noFill/>
      </xdr:spPr>
    </xdr:pic>
    <xdr:clientData fLocksWithSheet="0"/>
  </xdr:oneCellAnchor>
  <xdr:oneCellAnchor>
    <xdr:from>
      <xdr:col>3</xdr:col>
      <xdr:colOff>0</xdr:colOff>
      <xdr:row>150</xdr:row>
      <xdr:rowOff>0</xdr:rowOff>
    </xdr:from>
    <xdr:ext cx="2781300" cy="2085975"/>
    <xdr:pic>
      <xdr:nvPicPr>
        <xdr:cNvPr id="234" name="image234.jpg">
          <a:extLst>
            <a:ext uri="{FF2B5EF4-FFF2-40B4-BE49-F238E27FC236}">
              <a16:creationId xmlns:a16="http://schemas.microsoft.com/office/drawing/2014/main" id="{00000000-0008-0000-0200-0000EA000000}"/>
            </a:ext>
          </a:extLst>
        </xdr:cNvPr>
        <xdr:cNvPicPr preferRelativeResize="0"/>
      </xdr:nvPicPr>
      <xdr:blipFill>
        <a:blip xmlns:r="http://schemas.openxmlformats.org/officeDocument/2006/relationships" r:embed="rId230" cstate="print"/>
        <a:stretch>
          <a:fillRect/>
        </a:stretch>
      </xdr:blipFill>
      <xdr:spPr>
        <a:prstGeom prst="rect">
          <a:avLst/>
        </a:prstGeom>
        <a:noFill/>
      </xdr:spPr>
    </xdr:pic>
    <xdr:clientData fLocksWithSheet="0"/>
  </xdr:oneCellAnchor>
  <xdr:oneCellAnchor>
    <xdr:from>
      <xdr:col>2</xdr:col>
      <xdr:colOff>0</xdr:colOff>
      <xdr:row>151</xdr:row>
      <xdr:rowOff>0</xdr:rowOff>
    </xdr:from>
    <xdr:ext cx="3543300" cy="2076450"/>
    <xdr:pic>
      <xdr:nvPicPr>
        <xdr:cNvPr id="235" name="image229.png">
          <a:extLst>
            <a:ext uri="{FF2B5EF4-FFF2-40B4-BE49-F238E27FC236}">
              <a16:creationId xmlns:a16="http://schemas.microsoft.com/office/drawing/2014/main" id="{00000000-0008-0000-0200-0000EB000000}"/>
            </a:ext>
          </a:extLst>
        </xdr:cNvPr>
        <xdr:cNvPicPr preferRelativeResize="0"/>
      </xdr:nvPicPr>
      <xdr:blipFill>
        <a:blip xmlns:r="http://schemas.openxmlformats.org/officeDocument/2006/relationships" r:embed="rId231" cstate="print"/>
        <a:stretch>
          <a:fillRect/>
        </a:stretch>
      </xdr:blipFill>
      <xdr:spPr>
        <a:prstGeom prst="rect">
          <a:avLst/>
        </a:prstGeom>
        <a:noFill/>
      </xdr:spPr>
    </xdr:pic>
    <xdr:clientData fLocksWithSheet="0"/>
  </xdr:oneCellAnchor>
  <xdr:oneCellAnchor>
    <xdr:from>
      <xdr:col>3</xdr:col>
      <xdr:colOff>0</xdr:colOff>
      <xdr:row>151</xdr:row>
      <xdr:rowOff>0</xdr:rowOff>
    </xdr:from>
    <xdr:ext cx="3152775" cy="1771650"/>
    <xdr:pic>
      <xdr:nvPicPr>
        <xdr:cNvPr id="236" name="image238.jpg">
          <a:extLst>
            <a:ext uri="{FF2B5EF4-FFF2-40B4-BE49-F238E27FC236}">
              <a16:creationId xmlns:a16="http://schemas.microsoft.com/office/drawing/2014/main" id="{00000000-0008-0000-0200-0000EC000000}"/>
            </a:ext>
          </a:extLst>
        </xdr:cNvPr>
        <xdr:cNvPicPr preferRelativeResize="0"/>
      </xdr:nvPicPr>
      <xdr:blipFill>
        <a:blip xmlns:r="http://schemas.openxmlformats.org/officeDocument/2006/relationships" r:embed="rId232" cstate="print"/>
        <a:stretch>
          <a:fillRect/>
        </a:stretch>
      </xdr:blipFill>
      <xdr:spPr>
        <a:prstGeom prst="rect">
          <a:avLst/>
        </a:prstGeom>
        <a:noFill/>
      </xdr:spPr>
    </xdr:pic>
    <xdr:clientData fLocksWithSheet="0"/>
  </xdr:oneCellAnchor>
  <xdr:oneCellAnchor>
    <xdr:from>
      <xdr:col>2</xdr:col>
      <xdr:colOff>0</xdr:colOff>
      <xdr:row>152</xdr:row>
      <xdr:rowOff>0</xdr:rowOff>
    </xdr:from>
    <xdr:ext cx="3295650" cy="2085975"/>
    <xdr:pic>
      <xdr:nvPicPr>
        <xdr:cNvPr id="237" name="image232.png">
          <a:extLst>
            <a:ext uri="{FF2B5EF4-FFF2-40B4-BE49-F238E27FC236}">
              <a16:creationId xmlns:a16="http://schemas.microsoft.com/office/drawing/2014/main" id="{00000000-0008-0000-0200-0000ED000000}"/>
            </a:ext>
          </a:extLst>
        </xdr:cNvPr>
        <xdr:cNvPicPr preferRelativeResize="0"/>
      </xdr:nvPicPr>
      <xdr:blipFill>
        <a:blip xmlns:r="http://schemas.openxmlformats.org/officeDocument/2006/relationships" r:embed="rId233" cstate="print"/>
        <a:stretch>
          <a:fillRect/>
        </a:stretch>
      </xdr:blipFill>
      <xdr:spPr>
        <a:prstGeom prst="rect">
          <a:avLst/>
        </a:prstGeom>
        <a:noFill/>
      </xdr:spPr>
    </xdr:pic>
    <xdr:clientData fLocksWithSheet="0"/>
  </xdr:oneCellAnchor>
  <xdr:oneCellAnchor>
    <xdr:from>
      <xdr:col>3</xdr:col>
      <xdr:colOff>0</xdr:colOff>
      <xdr:row>152</xdr:row>
      <xdr:rowOff>0</xdr:rowOff>
    </xdr:from>
    <xdr:ext cx="2781300" cy="2085975"/>
    <xdr:pic>
      <xdr:nvPicPr>
        <xdr:cNvPr id="238" name="image235.jpg">
          <a:extLst>
            <a:ext uri="{FF2B5EF4-FFF2-40B4-BE49-F238E27FC236}">
              <a16:creationId xmlns:a16="http://schemas.microsoft.com/office/drawing/2014/main" id="{00000000-0008-0000-0200-0000EE000000}"/>
            </a:ext>
          </a:extLst>
        </xdr:cNvPr>
        <xdr:cNvPicPr preferRelativeResize="0"/>
      </xdr:nvPicPr>
      <xdr:blipFill>
        <a:blip xmlns:r="http://schemas.openxmlformats.org/officeDocument/2006/relationships" r:embed="rId234" cstate="print"/>
        <a:stretch>
          <a:fillRect/>
        </a:stretch>
      </xdr:blipFill>
      <xdr:spPr>
        <a:prstGeom prst="rect">
          <a:avLst/>
        </a:prstGeom>
        <a:noFill/>
      </xdr:spPr>
    </xdr:pic>
    <xdr:clientData fLocksWithSheet="0"/>
  </xdr:oneCellAnchor>
  <xdr:oneCellAnchor>
    <xdr:from>
      <xdr:col>2</xdr:col>
      <xdr:colOff>0</xdr:colOff>
      <xdr:row>153</xdr:row>
      <xdr:rowOff>0</xdr:rowOff>
    </xdr:from>
    <xdr:ext cx="3600450" cy="1952625"/>
    <xdr:pic>
      <xdr:nvPicPr>
        <xdr:cNvPr id="239" name="image246.png">
          <a:extLst>
            <a:ext uri="{FF2B5EF4-FFF2-40B4-BE49-F238E27FC236}">
              <a16:creationId xmlns:a16="http://schemas.microsoft.com/office/drawing/2014/main" id="{00000000-0008-0000-0200-0000EF000000}"/>
            </a:ext>
          </a:extLst>
        </xdr:cNvPr>
        <xdr:cNvPicPr preferRelativeResize="0"/>
      </xdr:nvPicPr>
      <xdr:blipFill>
        <a:blip xmlns:r="http://schemas.openxmlformats.org/officeDocument/2006/relationships" r:embed="rId235" cstate="print"/>
        <a:stretch>
          <a:fillRect/>
        </a:stretch>
      </xdr:blipFill>
      <xdr:spPr>
        <a:prstGeom prst="rect">
          <a:avLst/>
        </a:prstGeom>
        <a:noFill/>
      </xdr:spPr>
    </xdr:pic>
    <xdr:clientData fLocksWithSheet="0"/>
  </xdr:oneCellAnchor>
  <xdr:oneCellAnchor>
    <xdr:from>
      <xdr:col>3</xdr:col>
      <xdr:colOff>0</xdr:colOff>
      <xdr:row>153</xdr:row>
      <xdr:rowOff>0</xdr:rowOff>
    </xdr:from>
    <xdr:ext cx="3152775" cy="1771650"/>
    <xdr:pic>
      <xdr:nvPicPr>
        <xdr:cNvPr id="240" name="image250.jpg">
          <a:extLst>
            <a:ext uri="{FF2B5EF4-FFF2-40B4-BE49-F238E27FC236}">
              <a16:creationId xmlns:a16="http://schemas.microsoft.com/office/drawing/2014/main" id="{00000000-0008-0000-0200-0000F0000000}"/>
            </a:ext>
          </a:extLst>
        </xdr:cNvPr>
        <xdr:cNvPicPr preferRelativeResize="0"/>
      </xdr:nvPicPr>
      <xdr:blipFill>
        <a:blip xmlns:r="http://schemas.openxmlformats.org/officeDocument/2006/relationships" r:embed="rId236" cstate="print"/>
        <a:stretch>
          <a:fillRect/>
        </a:stretch>
      </xdr:blipFill>
      <xdr:spPr>
        <a:prstGeom prst="rect">
          <a:avLst/>
        </a:prstGeom>
        <a:noFill/>
      </xdr:spPr>
    </xdr:pic>
    <xdr:clientData fLocksWithSheet="0"/>
  </xdr:oneCellAnchor>
  <xdr:oneCellAnchor>
    <xdr:from>
      <xdr:col>2</xdr:col>
      <xdr:colOff>0</xdr:colOff>
      <xdr:row>154</xdr:row>
      <xdr:rowOff>0</xdr:rowOff>
    </xdr:from>
    <xdr:ext cx="2085975" cy="2085975"/>
    <xdr:pic>
      <xdr:nvPicPr>
        <xdr:cNvPr id="241" name="image280.jpg">
          <a:extLst>
            <a:ext uri="{FF2B5EF4-FFF2-40B4-BE49-F238E27FC236}">
              <a16:creationId xmlns:a16="http://schemas.microsoft.com/office/drawing/2014/main" id="{00000000-0008-0000-0200-0000F1000000}"/>
            </a:ext>
          </a:extLst>
        </xdr:cNvPr>
        <xdr:cNvPicPr preferRelativeResize="0"/>
      </xdr:nvPicPr>
      <xdr:blipFill>
        <a:blip xmlns:r="http://schemas.openxmlformats.org/officeDocument/2006/relationships" r:embed="rId237" cstate="print"/>
        <a:stretch>
          <a:fillRect/>
        </a:stretch>
      </xdr:blipFill>
      <xdr:spPr>
        <a:prstGeom prst="rect">
          <a:avLst/>
        </a:prstGeom>
        <a:noFill/>
      </xdr:spPr>
    </xdr:pic>
    <xdr:clientData fLocksWithSheet="0"/>
  </xdr:oneCellAnchor>
  <xdr:oneCellAnchor>
    <xdr:from>
      <xdr:col>3</xdr:col>
      <xdr:colOff>0</xdr:colOff>
      <xdr:row>154</xdr:row>
      <xdr:rowOff>0</xdr:rowOff>
    </xdr:from>
    <xdr:ext cx="3152775" cy="1771650"/>
    <xdr:pic>
      <xdr:nvPicPr>
        <xdr:cNvPr id="242" name="image237.jpg">
          <a:extLst>
            <a:ext uri="{FF2B5EF4-FFF2-40B4-BE49-F238E27FC236}">
              <a16:creationId xmlns:a16="http://schemas.microsoft.com/office/drawing/2014/main" id="{00000000-0008-0000-0200-0000F2000000}"/>
            </a:ext>
          </a:extLst>
        </xdr:cNvPr>
        <xdr:cNvPicPr preferRelativeResize="0"/>
      </xdr:nvPicPr>
      <xdr:blipFill>
        <a:blip xmlns:r="http://schemas.openxmlformats.org/officeDocument/2006/relationships" r:embed="rId238" cstate="print"/>
        <a:stretch>
          <a:fillRect/>
        </a:stretch>
      </xdr:blipFill>
      <xdr:spPr>
        <a:prstGeom prst="rect">
          <a:avLst/>
        </a:prstGeom>
        <a:noFill/>
      </xdr:spPr>
    </xdr:pic>
    <xdr:clientData fLocksWithSheet="0"/>
  </xdr:oneCellAnchor>
  <xdr:oneCellAnchor>
    <xdr:from>
      <xdr:col>2</xdr:col>
      <xdr:colOff>0</xdr:colOff>
      <xdr:row>155</xdr:row>
      <xdr:rowOff>0</xdr:rowOff>
    </xdr:from>
    <xdr:ext cx="1771650" cy="2085975"/>
    <xdr:pic>
      <xdr:nvPicPr>
        <xdr:cNvPr id="243" name="image239.png">
          <a:extLst>
            <a:ext uri="{FF2B5EF4-FFF2-40B4-BE49-F238E27FC236}">
              <a16:creationId xmlns:a16="http://schemas.microsoft.com/office/drawing/2014/main" id="{00000000-0008-0000-0200-0000F3000000}"/>
            </a:ext>
          </a:extLst>
        </xdr:cNvPr>
        <xdr:cNvPicPr preferRelativeResize="0"/>
      </xdr:nvPicPr>
      <xdr:blipFill>
        <a:blip xmlns:r="http://schemas.openxmlformats.org/officeDocument/2006/relationships" r:embed="rId239" cstate="print"/>
        <a:stretch>
          <a:fillRect/>
        </a:stretch>
      </xdr:blipFill>
      <xdr:spPr>
        <a:prstGeom prst="rect">
          <a:avLst/>
        </a:prstGeom>
        <a:noFill/>
      </xdr:spPr>
    </xdr:pic>
    <xdr:clientData fLocksWithSheet="0"/>
  </xdr:oneCellAnchor>
  <xdr:oneCellAnchor>
    <xdr:from>
      <xdr:col>3</xdr:col>
      <xdr:colOff>0</xdr:colOff>
      <xdr:row>155</xdr:row>
      <xdr:rowOff>0</xdr:rowOff>
    </xdr:from>
    <xdr:ext cx="3152775" cy="1866900"/>
    <xdr:pic>
      <xdr:nvPicPr>
        <xdr:cNvPr id="244" name="image249.png" title="Imagen">
          <a:extLst>
            <a:ext uri="{FF2B5EF4-FFF2-40B4-BE49-F238E27FC236}">
              <a16:creationId xmlns:a16="http://schemas.microsoft.com/office/drawing/2014/main" id="{00000000-0008-0000-0200-0000F4000000}"/>
            </a:ext>
          </a:extLst>
        </xdr:cNvPr>
        <xdr:cNvPicPr preferRelativeResize="0"/>
      </xdr:nvPicPr>
      <xdr:blipFill>
        <a:blip xmlns:r="http://schemas.openxmlformats.org/officeDocument/2006/relationships" r:embed="rId240" cstate="print"/>
        <a:stretch>
          <a:fillRect/>
        </a:stretch>
      </xdr:blipFill>
      <xdr:spPr>
        <a:prstGeom prst="rect">
          <a:avLst/>
        </a:prstGeom>
        <a:noFill/>
      </xdr:spPr>
    </xdr:pic>
    <xdr:clientData fLocksWithSheet="0"/>
  </xdr:oneCellAnchor>
  <xdr:oneCellAnchor>
    <xdr:from>
      <xdr:col>2</xdr:col>
      <xdr:colOff>0</xdr:colOff>
      <xdr:row>156</xdr:row>
      <xdr:rowOff>0</xdr:rowOff>
    </xdr:from>
    <xdr:ext cx="2343150" cy="2085975"/>
    <xdr:pic>
      <xdr:nvPicPr>
        <xdr:cNvPr id="245" name="image231.png">
          <a:extLst>
            <a:ext uri="{FF2B5EF4-FFF2-40B4-BE49-F238E27FC236}">
              <a16:creationId xmlns:a16="http://schemas.microsoft.com/office/drawing/2014/main" id="{00000000-0008-0000-0200-0000F5000000}"/>
            </a:ext>
          </a:extLst>
        </xdr:cNvPr>
        <xdr:cNvPicPr preferRelativeResize="0"/>
      </xdr:nvPicPr>
      <xdr:blipFill>
        <a:blip xmlns:r="http://schemas.openxmlformats.org/officeDocument/2006/relationships" r:embed="rId241" cstate="print"/>
        <a:stretch>
          <a:fillRect/>
        </a:stretch>
      </xdr:blipFill>
      <xdr:spPr>
        <a:prstGeom prst="rect">
          <a:avLst/>
        </a:prstGeom>
        <a:noFill/>
      </xdr:spPr>
    </xdr:pic>
    <xdr:clientData fLocksWithSheet="0"/>
  </xdr:oneCellAnchor>
  <xdr:oneCellAnchor>
    <xdr:from>
      <xdr:col>2</xdr:col>
      <xdr:colOff>0</xdr:colOff>
      <xdr:row>157</xdr:row>
      <xdr:rowOff>0</xdr:rowOff>
    </xdr:from>
    <xdr:ext cx="2438400" cy="2085975"/>
    <xdr:pic>
      <xdr:nvPicPr>
        <xdr:cNvPr id="246" name="image236.png">
          <a:extLst>
            <a:ext uri="{FF2B5EF4-FFF2-40B4-BE49-F238E27FC236}">
              <a16:creationId xmlns:a16="http://schemas.microsoft.com/office/drawing/2014/main" id="{00000000-0008-0000-0200-0000F6000000}"/>
            </a:ext>
          </a:extLst>
        </xdr:cNvPr>
        <xdr:cNvPicPr preferRelativeResize="0"/>
      </xdr:nvPicPr>
      <xdr:blipFill>
        <a:blip xmlns:r="http://schemas.openxmlformats.org/officeDocument/2006/relationships" r:embed="rId242" cstate="print"/>
        <a:stretch>
          <a:fillRect/>
        </a:stretch>
      </xdr:blipFill>
      <xdr:spPr>
        <a:prstGeom prst="rect">
          <a:avLst/>
        </a:prstGeom>
        <a:noFill/>
      </xdr:spPr>
    </xdr:pic>
    <xdr:clientData fLocksWithSheet="0"/>
  </xdr:oneCellAnchor>
  <xdr:oneCellAnchor>
    <xdr:from>
      <xdr:col>2</xdr:col>
      <xdr:colOff>0</xdr:colOff>
      <xdr:row>158</xdr:row>
      <xdr:rowOff>0</xdr:rowOff>
    </xdr:from>
    <xdr:ext cx="1600200" cy="2085975"/>
    <xdr:pic>
      <xdr:nvPicPr>
        <xdr:cNvPr id="247" name="image241.png">
          <a:extLst>
            <a:ext uri="{FF2B5EF4-FFF2-40B4-BE49-F238E27FC236}">
              <a16:creationId xmlns:a16="http://schemas.microsoft.com/office/drawing/2014/main" id="{00000000-0008-0000-0200-0000F7000000}"/>
            </a:ext>
          </a:extLst>
        </xdr:cNvPr>
        <xdr:cNvPicPr preferRelativeResize="0"/>
      </xdr:nvPicPr>
      <xdr:blipFill>
        <a:blip xmlns:r="http://schemas.openxmlformats.org/officeDocument/2006/relationships" r:embed="rId243" cstate="print"/>
        <a:stretch>
          <a:fillRect/>
        </a:stretch>
      </xdr:blipFill>
      <xdr:spPr>
        <a:prstGeom prst="rect">
          <a:avLst/>
        </a:prstGeom>
        <a:noFill/>
      </xdr:spPr>
    </xdr:pic>
    <xdr:clientData fLocksWithSheet="0"/>
  </xdr:oneCellAnchor>
  <xdr:oneCellAnchor>
    <xdr:from>
      <xdr:col>2</xdr:col>
      <xdr:colOff>0</xdr:colOff>
      <xdr:row>159</xdr:row>
      <xdr:rowOff>0</xdr:rowOff>
    </xdr:from>
    <xdr:ext cx="1524000" cy="2085975"/>
    <xdr:pic>
      <xdr:nvPicPr>
        <xdr:cNvPr id="248" name="image245.png">
          <a:extLst>
            <a:ext uri="{FF2B5EF4-FFF2-40B4-BE49-F238E27FC236}">
              <a16:creationId xmlns:a16="http://schemas.microsoft.com/office/drawing/2014/main" id="{00000000-0008-0000-0200-0000F8000000}"/>
            </a:ext>
          </a:extLst>
        </xdr:cNvPr>
        <xdr:cNvPicPr preferRelativeResize="0"/>
      </xdr:nvPicPr>
      <xdr:blipFill>
        <a:blip xmlns:r="http://schemas.openxmlformats.org/officeDocument/2006/relationships" r:embed="rId244" cstate="print"/>
        <a:stretch>
          <a:fillRect/>
        </a:stretch>
      </xdr:blipFill>
      <xdr:spPr>
        <a:prstGeom prst="rect">
          <a:avLst/>
        </a:prstGeom>
        <a:noFill/>
      </xdr:spPr>
    </xdr:pic>
    <xdr:clientData fLocksWithSheet="0"/>
  </xdr:oneCellAnchor>
  <xdr:oneCellAnchor>
    <xdr:from>
      <xdr:col>2</xdr:col>
      <xdr:colOff>0</xdr:colOff>
      <xdr:row>160</xdr:row>
      <xdr:rowOff>0</xdr:rowOff>
    </xdr:from>
    <xdr:ext cx="2181225" cy="2085975"/>
    <xdr:pic>
      <xdr:nvPicPr>
        <xdr:cNvPr id="249" name="image240.png">
          <a:extLst>
            <a:ext uri="{FF2B5EF4-FFF2-40B4-BE49-F238E27FC236}">
              <a16:creationId xmlns:a16="http://schemas.microsoft.com/office/drawing/2014/main" id="{00000000-0008-0000-0200-0000F9000000}"/>
            </a:ext>
          </a:extLst>
        </xdr:cNvPr>
        <xdr:cNvPicPr preferRelativeResize="0"/>
      </xdr:nvPicPr>
      <xdr:blipFill>
        <a:blip xmlns:r="http://schemas.openxmlformats.org/officeDocument/2006/relationships" r:embed="rId245" cstate="print"/>
        <a:stretch>
          <a:fillRect/>
        </a:stretch>
      </xdr:blipFill>
      <xdr:spPr>
        <a:prstGeom prst="rect">
          <a:avLst/>
        </a:prstGeom>
        <a:noFill/>
      </xdr:spPr>
    </xdr:pic>
    <xdr:clientData fLocksWithSheet="0"/>
  </xdr:oneCellAnchor>
  <xdr:oneCellAnchor>
    <xdr:from>
      <xdr:col>3</xdr:col>
      <xdr:colOff>0</xdr:colOff>
      <xdr:row>160</xdr:row>
      <xdr:rowOff>0</xdr:rowOff>
    </xdr:from>
    <xdr:ext cx="923925" cy="2085975"/>
    <xdr:pic>
      <xdr:nvPicPr>
        <xdr:cNvPr id="250" name="image252.jpg">
          <a:extLst>
            <a:ext uri="{FF2B5EF4-FFF2-40B4-BE49-F238E27FC236}">
              <a16:creationId xmlns:a16="http://schemas.microsoft.com/office/drawing/2014/main" id="{00000000-0008-0000-0200-0000FA000000}"/>
            </a:ext>
          </a:extLst>
        </xdr:cNvPr>
        <xdr:cNvPicPr preferRelativeResize="0"/>
      </xdr:nvPicPr>
      <xdr:blipFill>
        <a:blip xmlns:r="http://schemas.openxmlformats.org/officeDocument/2006/relationships" r:embed="rId246" cstate="print"/>
        <a:stretch>
          <a:fillRect/>
        </a:stretch>
      </xdr:blipFill>
      <xdr:spPr>
        <a:prstGeom prst="rect">
          <a:avLst/>
        </a:prstGeom>
        <a:noFill/>
      </xdr:spPr>
    </xdr:pic>
    <xdr:clientData fLocksWithSheet="0"/>
  </xdr:oneCellAnchor>
  <xdr:oneCellAnchor>
    <xdr:from>
      <xdr:col>2</xdr:col>
      <xdr:colOff>0</xdr:colOff>
      <xdr:row>161</xdr:row>
      <xdr:rowOff>0</xdr:rowOff>
    </xdr:from>
    <xdr:ext cx="2085975" cy="2085975"/>
    <xdr:pic>
      <xdr:nvPicPr>
        <xdr:cNvPr id="251" name="image242.jpg" descr="79" title="Imagen">
          <a:extLst>
            <a:ext uri="{FF2B5EF4-FFF2-40B4-BE49-F238E27FC236}">
              <a16:creationId xmlns:a16="http://schemas.microsoft.com/office/drawing/2014/main" id="{00000000-0008-0000-0200-0000FB000000}"/>
            </a:ext>
          </a:extLst>
        </xdr:cNvPr>
        <xdr:cNvPicPr preferRelativeResize="0"/>
      </xdr:nvPicPr>
      <xdr:blipFill>
        <a:blip xmlns:r="http://schemas.openxmlformats.org/officeDocument/2006/relationships" r:embed="rId247" cstate="print"/>
        <a:stretch>
          <a:fillRect/>
        </a:stretch>
      </xdr:blipFill>
      <xdr:spPr>
        <a:prstGeom prst="rect">
          <a:avLst/>
        </a:prstGeom>
        <a:noFill/>
      </xdr:spPr>
    </xdr:pic>
    <xdr:clientData fLocksWithSheet="0"/>
  </xdr:oneCellAnchor>
  <xdr:oneCellAnchor>
    <xdr:from>
      <xdr:col>2</xdr:col>
      <xdr:colOff>0</xdr:colOff>
      <xdr:row>162</xdr:row>
      <xdr:rowOff>0</xdr:rowOff>
    </xdr:from>
    <xdr:ext cx="2085975" cy="2085975"/>
    <xdr:pic>
      <xdr:nvPicPr>
        <xdr:cNvPr id="252" name="image259.jpg" descr="82">
          <a:extLst>
            <a:ext uri="{FF2B5EF4-FFF2-40B4-BE49-F238E27FC236}">
              <a16:creationId xmlns:a16="http://schemas.microsoft.com/office/drawing/2014/main" id="{00000000-0008-0000-0200-0000FC000000}"/>
            </a:ext>
          </a:extLst>
        </xdr:cNvPr>
        <xdr:cNvPicPr preferRelativeResize="0"/>
      </xdr:nvPicPr>
      <xdr:blipFill>
        <a:blip xmlns:r="http://schemas.openxmlformats.org/officeDocument/2006/relationships" r:embed="rId248" cstate="print"/>
        <a:stretch>
          <a:fillRect/>
        </a:stretch>
      </xdr:blipFill>
      <xdr:spPr>
        <a:prstGeom prst="rect">
          <a:avLst/>
        </a:prstGeom>
        <a:noFill/>
      </xdr:spPr>
    </xdr:pic>
    <xdr:clientData fLocksWithSheet="0"/>
  </xdr:oneCellAnchor>
  <xdr:oneCellAnchor>
    <xdr:from>
      <xdr:col>3</xdr:col>
      <xdr:colOff>0</xdr:colOff>
      <xdr:row>162</xdr:row>
      <xdr:rowOff>0</xdr:rowOff>
    </xdr:from>
    <xdr:ext cx="1981200" cy="2085975"/>
    <xdr:pic>
      <xdr:nvPicPr>
        <xdr:cNvPr id="253" name="image253.jpg">
          <a:extLst>
            <a:ext uri="{FF2B5EF4-FFF2-40B4-BE49-F238E27FC236}">
              <a16:creationId xmlns:a16="http://schemas.microsoft.com/office/drawing/2014/main" id="{00000000-0008-0000-0200-0000FD000000}"/>
            </a:ext>
          </a:extLst>
        </xdr:cNvPr>
        <xdr:cNvPicPr preferRelativeResize="0"/>
      </xdr:nvPicPr>
      <xdr:blipFill>
        <a:blip xmlns:r="http://schemas.openxmlformats.org/officeDocument/2006/relationships" r:embed="rId249" cstate="print"/>
        <a:stretch>
          <a:fillRect/>
        </a:stretch>
      </xdr:blipFill>
      <xdr:spPr>
        <a:prstGeom prst="rect">
          <a:avLst/>
        </a:prstGeom>
        <a:noFill/>
      </xdr:spPr>
    </xdr:pic>
    <xdr:clientData fLocksWithSheet="0"/>
  </xdr:oneCellAnchor>
  <xdr:oneCellAnchor>
    <xdr:from>
      <xdr:col>2</xdr:col>
      <xdr:colOff>0</xdr:colOff>
      <xdr:row>163</xdr:row>
      <xdr:rowOff>0</xdr:rowOff>
    </xdr:from>
    <xdr:ext cx="2085975" cy="2085975"/>
    <xdr:pic>
      <xdr:nvPicPr>
        <xdr:cNvPr id="254" name="image248.jpg" descr="83">
          <a:extLst>
            <a:ext uri="{FF2B5EF4-FFF2-40B4-BE49-F238E27FC236}">
              <a16:creationId xmlns:a16="http://schemas.microsoft.com/office/drawing/2014/main" id="{00000000-0008-0000-0200-0000FE000000}"/>
            </a:ext>
          </a:extLst>
        </xdr:cNvPr>
        <xdr:cNvPicPr preferRelativeResize="0"/>
      </xdr:nvPicPr>
      <xdr:blipFill>
        <a:blip xmlns:r="http://schemas.openxmlformats.org/officeDocument/2006/relationships" r:embed="rId250" cstate="print"/>
        <a:stretch>
          <a:fillRect/>
        </a:stretch>
      </xdr:blipFill>
      <xdr:spPr>
        <a:prstGeom prst="rect">
          <a:avLst/>
        </a:prstGeom>
        <a:noFill/>
      </xdr:spPr>
    </xdr:pic>
    <xdr:clientData fLocksWithSheet="0"/>
  </xdr:oneCellAnchor>
  <xdr:oneCellAnchor>
    <xdr:from>
      <xdr:col>3</xdr:col>
      <xdr:colOff>0</xdr:colOff>
      <xdr:row>163</xdr:row>
      <xdr:rowOff>0</xdr:rowOff>
    </xdr:from>
    <xdr:ext cx="3152775" cy="1771650"/>
    <xdr:pic>
      <xdr:nvPicPr>
        <xdr:cNvPr id="255" name="image247.jpg">
          <a:extLst>
            <a:ext uri="{FF2B5EF4-FFF2-40B4-BE49-F238E27FC236}">
              <a16:creationId xmlns:a16="http://schemas.microsoft.com/office/drawing/2014/main" id="{00000000-0008-0000-0200-0000FF000000}"/>
            </a:ext>
          </a:extLst>
        </xdr:cNvPr>
        <xdr:cNvPicPr preferRelativeResize="0"/>
      </xdr:nvPicPr>
      <xdr:blipFill>
        <a:blip xmlns:r="http://schemas.openxmlformats.org/officeDocument/2006/relationships" r:embed="rId251" cstate="print"/>
        <a:stretch>
          <a:fillRect/>
        </a:stretch>
      </xdr:blipFill>
      <xdr:spPr>
        <a:prstGeom prst="rect">
          <a:avLst/>
        </a:prstGeom>
        <a:noFill/>
      </xdr:spPr>
    </xdr:pic>
    <xdr:clientData fLocksWithSheet="0"/>
  </xdr:oneCellAnchor>
  <xdr:oneCellAnchor>
    <xdr:from>
      <xdr:col>2</xdr:col>
      <xdr:colOff>0</xdr:colOff>
      <xdr:row>164</xdr:row>
      <xdr:rowOff>0</xdr:rowOff>
    </xdr:from>
    <xdr:ext cx="2076450" cy="2076450"/>
    <xdr:pic>
      <xdr:nvPicPr>
        <xdr:cNvPr id="256" name="image243.jpg">
          <a:extLst>
            <a:ext uri="{FF2B5EF4-FFF2-40B4-BE49-F238E27FC236}">
              <a16:creationId xmlns:a16="http://schemas.microsoft.com/office/drawing/2014/main" id="{00000000-0008-0000-0200-000000010000}"/>
            </a:ext>
          </a:extLst>
        </xdr:cNvPr>
        <xdr:cNvPicPr preferRelativeResize="0"/>
      </xdr:nvPicPr>
      <xdr:blipFill>
        <a:blip xmlns:r="http://schemas.openxmlformats.org/officeDocument/2006/relationships" r:embed="rId252" cstate="print"/>
        <a:stretch>
          <a:fillRect/>
        </a:stretch>
      </xdr:blipFill>
      <xdr:spPr>
        <a:prstGeom prst="rect">
          <a:avLst/>
        </a:prstGeom>
        <a:noFill/>
      </xdr:spPr>
    </xdr:pic>
    <xdr:clientData fLocksWithSheet="0"/>
  </xdr:oneCellAnchor>
  <xdr:oneCellAnchor>
    <xdr:from>
      <xdr:col>3</xdr:col>
      <xdr:colOff>0</xdr:colOff>
      <xdr:row>164</xdr:row>
      <xdr:rowOff>0</xdr:rowOff>
    </xdr:from>
    <xdr:ext cx="3152775" cy="1771650"/>
    <xdr:pic>
      <xdr:nvPicPr>
        <xdr:cNvPr id="257" name="image254.jpg">
          <a:extLst>
            <a:ext uri="{FF2B5EF4-FFF2-40B4-BE49-F238E27FC236}">
              <a16:creationId xmlns:a16="http://schemas.microsoft.com/office/drawing/2014/main" id="{00000000-0008-0000-0200-000001010000}"/>
            </a:ext>
          </a:extLst>
        </xdr:cNvPr>
        <xdr:cNvPicPr preferRelativeResize="0"/>
      </xdr:nvPicPr>
      <xdr:blipFill>
        <a:blip xmlns:r="http://schemas.openxmlformats.org/officeDocument/2006/relationships" r:embed="rId253" cstate="print"/>
        <a:stretch>
          <a:fillRect/>
        </a:stretch>
      </xdr:blipFill>
      <xdr:spPr>
        <a:prstGeom prst="rect">
          <a:avLst/>
        </a:prstGeom>
        <a:noFill/>
      </xdr:spPr>
    </xdr:pic>
    <xdr:clientData fLocksWithSheet="0"/>
  </xdr:oneCellAnchor>
  <xdr:oneCellAnchor>
    <xdr:from>
      <xdr:col>2</xdr:col>
      <xdr:colOff>0</xdr:colOff>
      <xdr:row>165</xdr:row>
      <xdr:rowOff>0</xdr:rowOff>
    </xdr:from>
    <xdr:ext cx="1390650" cy="2085975"/>
    <xdr:pic>
      <xdr:nvPicPr>
        <xdr:cNvPr id="258" name="image251.png">
          <a:extLst>
            <a:ext uri="{FF2B5EF4-FFF2-40B4-BE49-F238E27FC236}">
              <a16:creationId xmlns:a16="http://schemas.microsoft.com/office/drawing/2014/main" id="{00000000-0008-0000-0200-000002010000}"/>
            </a:ext>
          </a:extLst>
        </xdr:cNvPr>
        <xdr:cNvPicPr preferRelativeResize="0"/>
      </xdr:nvPicPr>
      <xdr:blipFill>
        <a:blip xmlns:r="http://schemas.openxmlformats.org/officeDocument/2006/relationships" r:embed="rId254" cstate="print"/>
        <a:stretch>
          <a:fillRect/>
        </a:stretch>
      </xdr:blipFill>
      <xdr:spPr>
        <a:prstGeom prst="rect">
          <a:avLst/>
        </a:prstGeom>
        <a:noFill/>
      </xdr:spPr>
    </xdr:pic>
    <xdr:clientData fLocksWithSheet="0"/>
  </xdr:oneCellAnchor>
  <xdr:oneCellAnchor>
    <xdr:from>
      <xdr:col>3</xdr:col>
      <xdr:colOff>0</xdr:colOff>
      <xdr:row>165</xdr:row>
      <xdr:rowOff>0</xdr:rowOff>
    </xdr:from>
    <xdr:ext cx="1171575" cy="2085975"/>
    <xdr:pic>
      <xdr:nvPicPr>
        <xdr:cNvPr id="259" name="image266.jpg">
          <a:extLst>
            <a:ext uri="{FF2B5EF4-FFF2-40B4-BE49-F238E27FC236}">
              <a16:creationId xmlns:a16="http://schemas.microsoft.com/office/drawing/2014/main" id="{00000000-0008-0000-0200-000003010000}"/>
            </a:ext>
          </a:extLst>
        </xdr:cNvPr>
        <xdr:cNvPicPr preferRelativeResize="0"/>
      </xdr:nvPicPr>
      <xdr:blipFill>
        <a:blip xmlns:r="http://schemas.openxmlformats.org/officeDocument/2006/relationships" r:embed="rId255" cstate="print"/>
        <a:stretch>
          <a:fillRect/>
        </a:stretch>
      </xdr:blipFill>
      <xdr:spPr>
        <a:prstGeom prst="rect">
          <a:avLst/>
        </a:prstGeom>
        <a:noFill/>
      </xdr:spPr>
    </xdr:pic>
    <xdr:clientData fLocksWithSheet="0"/>
  </xdr:oneCellAnchor>
  <xdr:oneCellAnchor>
    <xdr:from>
      <xdr:col>2</xdr:col>
      <xdr:colOff>0</xdr:colOff>
      <xdr:row>166</xdr:row>
      <xdr:rowOff>0</xdr:rowOff>
    </xdr:from>
    <xdr:ext cx="3600450" cy="2019300"/>
    <xdr:pic>
      <xdr:nvPicPr>
        <xdr:cNvPr id="260" name="image268.jpg">
          <a:extLst>
            <a:ext uri="{FF2B5EF4-FFF2-40B4-BE49-F238E27FC236}">
              <a16:creationId xmlns:a16="http://schemas.microsoft.com/office/drawing/2014/main" id="{00000000-0008-0000-0200-000004010000}"/>
            </a:ext>
          </a:extLst>
        </xdr:cNvPr>
        <xdr:cNvPicPr preferRelativeResize="0"/>
      </xdr:nvPicPr>
      <xdr:blipFill>
        <a:blip xmlns:r="http://schemas.openxmlformats.org/officeDocument/2006/relationships" r:embed="rId256" cstate="print"/>
        <a:stretch>
          <a:fillRect/>
        </a:stretch>
      </xdr:blipFill>
      <xdr:spPr>
        <a:prstGeom prst="rect">
          <a:avLst/>
        </a:prstGeom>
        <a:noFill/>
      </xdr:spPr>
    </xdr:pic>
    <xdr:clientData fLocksWithSheet="0"/>
  </xdr:oneCellAnchor>
  <xdr:oneCellAnchor>
    <xdr:from>
      <xdr:col>3</xdr:col>
      <xdr:colOff>0</xdr:colOff>
      <xdr:row>166</xdr:row>
      <xdr:rowOff>0</xdr:rowOff>
    </xdr:from>
    <xdr:ext cx="1171575" cy="2085975"/>
    <xdr:pic>
      <xdr:nvPicPr>
        <xdr:cNvPr id="261" name="image279.jpg">
          <a:extLst>
            <a:ext uri="{FF2B5EF4-FFF2-40B4-BE49-F238E27FC236}">
              <a16:creationId xmlns:a16="http://schemas.microsoft.com/office/drawing/2014/main" id="{00000000-0008-0000-0200-000005010000}"/>
            </a:ext>
          </a:extLst>
        </xdr:cNvPr>
        <xdr:cNvPicPr preferRelativeResize="0"/>
      </xdr:nvPicPr>
      <xdr:blipFill>
        <a:blip xmlns:r="http://schemas.openxmlformats.org/officeDocument/2006/relationships" r:embed="rId257" cstate="print"/>
        <a:stretch>
          <a:fillRect/>
        </a:stretch>
      </xdr:blipFill>
      <xdr:spPr>
        <a:prstGeom prst="rect">
          <a:avLst/>
        </a:prstGeom>
        <a:noFill/>
      </xdr:spPr>
    </xdr:pic>
    <xdr:clientData fLocksWithSheet="0"/>
  </xdr:oneCellAnchor>
  <xdr:oneCellAnchor>
    <xdr:from>
      <xdr:col>2</xdr:col>
      <xdr:colOff>0</xdr:colOff>
      <xdr:row>167</xdr:row>
      <xdr:rowOff>0</xdr:rowOff>
    </xdr:from>
    <xdr:ext cx="3105150" cy="2085975"/>
    <xdr:pic>
      <xdr:nvPicPr>
        <xdr:cNvPr id="262" name="image244.png">
          <a:extLst>
            <a:ext uri="{FF2B5EF4-FFF2-40B4-BE49-F238E27FC236}">
              <a16:creationId xmlns:a16="http://schemas.microsoft.com/office/drawing/2014/main" id="{00000000-0008-0000-0200-000006010000}"/>
            </a:ext>
          </a:extLst>
        </xdr:cNvPr>
        <xdr:cNvPicPr preferRelativeResize="0"/>
      </xdr:nvPicPr>
      <xdr:blipFill>
        <a:blip xmlns:r="http://schemas.openxmlformats.org/officeDocument/2006/relationships" r:embed="rId258" cstate="print"/>
        <a:stretch>
          <a:fillRect/>
        </a:stretch>
      </xdr:blipFill>
      <xdr:spPr>
        <a:prstGeom prst="rect">
          <a:avLst/>
        </a:prstGeom>
        <a:noFill/>
      </xdr:spPr>
    </xdr:pic>
    <xdr:clientData fLocksWithSheet="0"/>
  </xdr:oneCellAnchor>
  <xdr:oneCellAnchor>
    <xdr:from>
      <xdr:col>3</xdr:col>
      <xdr:colOff>0</xdr:colOff>
      <xdr:row>167</xdr:row>
      <xdr:rowOff>0</xdr:rowOff>
    </xdr:from>
    <xdr:ext cx="3152775" cy="1066800"/>
    <xdr:pic>
      <xdr:nvPicPr>
        <xdr:cNvPr id="263" name="image262.jpg">
          <a:extLst>
            <a:ext uri="{FF2B5EF4-FFF2-40B4-BE49-F238E27FC236}">
              <a16:creationId xmlns:a16="http://schemas.microsoft.com/office/drawing/2014/main" id="{00000000-0008-0000-0200-000007010000}"/>
            </a:ext>
          </a:extLst>
        </xdr:cNvPr>
        <xdr:cNvPicPr preferRelativeResize="0"/>
      </xdr:nvPicPr>
      <xdr:blipFill>
        <a:blip xmlns:r="http://schemas.openxmlformats.org/officeDocument/2006/relationships" r:embed="rId259" cstate="print"/>
        <a:stretch>
          <a:fillRect/>
        </a:stretch>
      </xdr:blipFill>
      <xdr:spPr>
        <a:prstGeom prst="rect">
          <a:avLst/>
        </a:prstGeom>
        <a:noFill/>
      </xdr:spPr>
    </xdr:pic>
    <xdr:clientData fLocksWithSheet="0"/>
  </xdr:oneCellAnchor>
  <xdr:oneCellAnchor>
    <xdr:from>
      <xdr:col>2</xdr:col>
      <xdr:colOff>0</xdr:colOff>
      <xdr:row>168</xdr:row>
      <xdr:rowOff>0</xdr:rowOff>
    </xdr:from>
    <xdr:ext cx="3381375" cy="2085975"/>
    <xdr:pic>
      <xdr:nvPicPr>
        <xdr:cNvPr id="264" name="image273.png" title="Imagen">
          <a:extLst>
            <a:ext uri="{FF2B5EF4-FFF2-40B4-BE49-F238E27FC236}">
              <a16:creationId xmlns:a16="http://schemas.microsoft.com/office/drawing/2014/main" id="{00000000-0008-0000-0200-000008010000}"/>
            </a:ext>
          </a:extLst>
        </xdr:cNvPr>
        <xdr:cNvPicPr preferRelativeResize="0"/>
      </xdr:nvPicPr>
      <xdr:blipFill>
        <a:blip xmlns:r="http://schemas.openxmlformats.org/officeDocument/2006/relationships" r:embed="rId260" cstate="print"/>
        <a:stretch>
          <a:fillRect/>
        </a:stretch>
      </xdr:blipFill>
      <xdr:spPr>
        <a:prstGeom prst="rect">
          <a:avLst/>
        </a:prstGeom>
        <a:noFill/>
      </xdr:spPr>
    </xdr:pic>
    <xdr:clientData fLocksWithSheet="0"/>
  </xdr:oneCellAnchor>
  <xdr:oneCellAnchor>
    <xdr:from>
      <xdr:col>3</xdr:col>
      <xdr:colOff>0</xdr:colOff>
      <xdr:row>168</xdr:row>
      <xdr:rowOff>0</xdr:rowOff>
    </xdr:from>
    <xdr:ext cx="3152775" cy="1771650"/>
    <xdr:pic>
      <xdr:nvPicPr>
        <xdr:cNvPr id="265" name="image272.jpg">
          <a:extLst>
            <a:ext uri="{FF2B5EF4-FFF2-40B4-BE49-F238E27FC236}">
              <a16:creationId xmlns:a16="http://schemas.microsoft.com/office/drawing/2014/main" id="{00000000-0008-0000-0200-000009010000}"/>
            </a:ext>
          </a:extLst>
        </xdr:cNvPr>
        <xdr:cNvPicPr preferRelativeResize="0"/>
      </xdr:nvPicPr>
      <xdr:blipFill>
        <a:blip xmlns:r="http://schemas.openxmlformats.org/officeDocument/2006/relationships" r:embed="rId261" cstate="print"/>
        <a:stretch>
          <a:fillRect/>
        </a:stretch>
      </xdr:blipFill>
      <xdr:spPr>
        <a:prstGeom prst="rect">
          <a:avLst/>
        </a:prstGeom>
        <a:noFill/>
      </xdr:spPr>
    </xdr:pic>
    <xdr:clientData fLocksWithSheet="0"/>
  </xdr:oneCellAnchor>
  <xdr:oneCellAnchor>
    <xdr:from>
      <xdr:col>2</xdr:col>
      <xdr:colOff>0</xdr:colOff>
      <xdr:row>169</xdr:row>
      <xdr:rowOff>0</xdr:rowOff>
    </xdr:from>
    <xdr:ext cx="2857500" cy="2085975"/>
    <xdr:pic>
      <xdr:nvPicPr>
        <xdr:cNvPr id="266" name="image256.png">
          <a:extLst>
            <a:ext uri="{FF2B5EF4-FFF2-40B4-BE49-F238E27FC236}">
              <a16:creationId xmlns:a16="http://schemas.microsoft.com/office/drawing/2014/main" id="{00000000-0008-0000-0200-00000A010000}"/>
            </a:ext>
          </a:extLst>
        </xdr:cNvPr>
        <xdr:cNvPicPr preferRelativeResize="0"/>
      </xdr:nvPicPr>
      <xdr:blipFill>
        <a:blip xmlns:r="http://schemas.openxmlformats.org/officeDocument/2006/relationships" r:embed="rId262" cstate="print"/>
        <a:stretch>
          <a:fillRect/>
        </a:stretch>
      </xdr:blipFill>
      <xdr:spPr>
        <a:prstGeom prst="rect">
          <a:avLst/>
        </a:prstGeom>
        <a:noFill/>
      </xdr:spPr>
    </xdr:pic>
    <xdr:clientData fLocksWithSheet="0"/>
  </xdr:oneCellAnchor>
  <xdr:oneCellAnchor>
    <xdr:from>
      <xdr:col>3</xdr:col>
      <xdr:colOff>0</xdr:colOff>
      <xdr:row>169</xdr:row>
      <xdr:rowOff>0</xdr:rowOff>
    </xdr:from>
    <xdr:ext cx="3152775" cy="1771650"/>
    <xdr:pic>
      <xdr:nvPicPr>
        <xdr:cNvPr id="267" name="image263.jpg">
          <a:extLst>
            <a:ext uri="{FF2B5EF4-FFF2-40B4-BE49-F238E27FC236}">
              <a16:creationId xmlns:a16="http://schemas.microsoft.com/office/drawing/2014/main" id="{00000000-0008-0000-0200-00000B010000}"/>
            </a:ext>
          </a:extLst>
        </xdr:cNvPr>
        <xdr:cNvPicPr preferRelativeResize="0"/>
      </xdr:nvPicPr>
      <xdr:blipFill>
        <a:blip xmlns:r="http://schemas.openxmlformats.org/officeDocument/2006/relationships" r:embed="rId263" cstate="print"/>
        <a:stretch>
          <a:fillRect/>
        </a:stretch>
      </xdr:blipFill>
      <xdr:spPr>
        <a:prstGeom prst="rect">
          <a:avLst/>
        </a:prstGeom>
        <a:noFill/>
      </xdr:spPr>
    </xdr:pic>
    <xdr:clientData fLocksWithSheet="0"/>
  </xdr:oneCellAnchor>
  <xdr:oneCellAnchor>
    <xdr:from>
      <xdr:col>2</xdr:col>
      <xdr:colOff>0</xdr:colOff>
      <xdr:row>170</xdr:row>
      <xdr:rowOff>0</xdr:rowOff>
    </xdr:from>
    <xdr:ext cx="2762250" cy="2085975"/>
    <xdr:pic>
      <xdr:nvPicPr>
        <xdr:cNvPr id="268" name="image260.png">
          <a:extLst>
            <a:ext uri="{FF2B5EF4-FFF2-40B4-BE49-F238E27FC236}">
              <a16:creationId xmlns:a16="http://schemas.microsoft.com/office/drawing/2014/main" id="{00000000-0008-0000-0200-00000C010000}"/>
            </a:ext>
          </a:extLst>
        </xdr:cNvPr>
        <xdr:cNvPicPr preferRelativeResize="0"/>
      </xdr:nvPicPr>
      <xdr:blipFill>
        <a:blip xmlns:r="http://schemas.openxmlformats.org/officeDocument/2006/relationships" r:embed="rId264" cstate="print"/>
        <a:stretch>
          <a:fillRect/>
        </a:stretch>
      </xdr:blipFill>
      <xdr:spPr>
        <a:prstGeom prst="rect">
          <a:avLst/>
        </a:prstGeom>
        <a:noFill/>
      </xdr:spPr>
    </xdr:pic>
    <xdr:clientData fLocksWithSheet="0"/>
  </xdr:oneCellAnchor>
  <xdr:oneCellAnchor>
    <xdr:from>
      <xdr:col>3</xdr:col>
      <xdr:colOff>0</xdr:colOff>
      <xdr:row>170</xdr:row>
      <xdr:rowOff>0</xdr:rowOff>
    </xdr:from>
    <xdr:ext cx="1171575" cy="2085975"/>
    <xdr:pic>
      <xdr:nvPicPr>
        <xdr:cNvPr id="269" name="image261.jpg">
          <a:extLst>
            <a:ext uri="{FF2B5EF4-FFF2-40B4-BE49-F238E27FC236}">
              <a16:creationId xmlns:a16="http://schemas.microsoft.com/office/drawing/2014/main" id="{00000000-0008-0000-0200-00000D010000}"/>
            </a:ext>
          </a:extLst>
        </xdr:cNvPr>
        <xdr:cNvPicPr preferRelativeResize="0"/>
      </xdr:nvPicPr>
      <xdr:blipFill>
        <a:blip xmlns:r="http://schemas.openxmlformats.org/officeDocument/2006/relationships" r:embed="rId265" cstate="print"/>
        <a:stretch>
          <a:fillRect/>
        </a:stretch>
      </xdr:blipFill>
      <xdr:spPr>
        <a:prstGeom prst="rect">
          <a:avLst/>
        </a:prstGeom>
        <a:noFill/>
      </xdr:spPr>
    </xdr:pic>
    <xdr:clientData fLocksWithSheet="0"/>
  </xdr:oneCellAnchor>
  <xdr:oneCellAnchor>
    <xdr:from>
      <xdr:col>2</xdr:col>
      <xdr:colOff>0</xdr:colOff>
      <xdr:row>171</xdr:row>
      <xdr:rowOff>0</xdr:rowOff>
    </xdr:from>
    <xdr:ext cx="1123950" cy="2085975"/>
    <xdr:pic>
      <xdr:nvPicPr>
        <xdr:cNvPr id="270" name="image267.png">
          <a:extLst>
            <a:ext uri="{FF2B5EF4-FFF2-40B4-BE49-F238E27FC236}">
              <a16:creationId xmlns:a16="http://schemas.microsoft.com/office/drawing/2014/main" id="{00000000-0008-0000-0200-00000E010000}"/>
            </a:ext>
          </a:extLst>
        </xdr:cNvPr>
        <xdr:cNvPicPr preferRelativeResize="0"/>
      </xdr:nvPicPr>
      <xdr:blipFill>
        <a:blip xmlns:r="http://schemas.openxmlformats.org/officeDocument/2006/relationships" r:embed="rId266" cstate="print"/>
        <a:stretch>
          <a:fillRect/>
        </a:stretch>
      </xdr:blipFill>
      <xdr:spPr>
        <a:prstGeom prst="rect">
          <a:avLst/>
        </a:prstGeom>
        <a:noFill/>
      </xdr:spPr>
    </xdr:pic>
    <xdr:clientData fLocksWithSheet="0"/>
  </xdr:oneCellAnchor>
  <xdr:oneCellAnchor>
    <xdr:from>
      <xdr:col>2</xdr:col>
      <xdr:colOff>0</xdr:colOff>
      <xdr:row>172</xdr:row>
      <xdr:rowOff>0</xdr:rowOff>
    </xdr:from>
    <xdr:ext cx="2133600" cy="2085975"/>
    <xdr:pic>
      <xdr:nvPicPr>
        <xdr:cNvPr id="271" name="image271.png">
          <a:extLst>
            <a:ext uri="{FF2B5EF4-FFF2-40B4-BE49-F238E27FC236}">
              <a16:creationId xmlns:a16="http://schemas.microsoft.com/office/drawing/2014/main" id="{00000000-0008-0000-0200-00000F010000}"/>
            </a:ext>
          </a:extLst>
        </xdr:cNvPr>
        <xdr:cNvPicPr preferRelativeResize="0"/>
      </xdr:nvPicPr>
      <xdr:blipFill>
        <a:blip xmlns:r="http://schemas.openxmlformats.org/officeDocument/2006/relationships" r:embed="rId267" cstate="print"/>
        <a:stretch>
          <a:fillRect/>
        </a:stretch>
      </xdr:blipFill>
      <xdr:spPr>
        <a:prstGeom prst="rect">
          <a:avLst/>
        </a:prstGeom>
        <a:noFill/>
      </xdr:spPr>
    </xdr:pic>
    <xdr:clientData fLocksWithSheet="0"/>
  </xdr:oneCellAnchor>
  <xdr:oneCellAnchor>
    <xdr:from>
      <xdr:col>3</xdr:col>
      <xdr:colOff>0</xdr:colOff>
      <xdr:row>172</xdr:row>
      <xdr:rowOff>0</xdr:rowOff>
    </xdr:from>
    <xdr:ext cx="1457325" cy="2085975"/>
    <xdr:pic>
      <xdr:nvPicPr>
        <xdr:cNvPr id="272" name="image257.png">
          <a:extLst>
            <a:ext uri="{FF2B5EF4-FFF2-40B4-BE49-F238E27FC236}">
              <a16:creationId xmlns:a16="http://schemas.microsoft.com/office/drawing/2014/main" id="{00000000-0008-0000-0200-000010010000}"/>
            </a:ext>
          </a:extLst>
        </xdr:cNvPr>
        <xdr:cNvPicPr preferRelativeResize="0"/>
      </xdr:nvPicPr>
      <xdr:blipFill>
        <a:blip xmlns:r="http://schemas.openxmlformats.org/officeDocument/2006/relationships" r:embed="rId268" cstate="print"/>
        <a:stretch>
          <a:fillRect/>
        </a:stretch>
      </xdr:blipFill>
      <xdr:spPr>
        <a:prstGeom prst="rect">
          <a:avLst/>
        </a:prstGeom>
        <a:noFill/>
      </xdr:spPr>
    </xdr:pic>
    <xdr:clientData fLocksWithSheet="0"/>
  </xdr:oneCellAnchor>
  <xdr:oneCellAnchor>
    <xdr:from>
      <xdr:col>2</xdr:col>
      <xdr:colOff>0</xdr:colOff>
      <xdr:row>173</xdr:row>
      <xdr:rowOff>0</xdr:rowOff>
    </xdr:from>
    <xdr:ext cx="2085975" cy="2085975"/>
    <xdr:pic>
      <xdr:nvPicPr>
        <xdr:cNvPr id="273" name="image264.png">
          <a:extLst>
            <a:ext uri="{FF2B5EF4-FFF2-40B4-BE49-F238E27FC236}">
              <a16:creationId xmlns:a16="http://schemas.microsoft.com/office/drawing/2014/main" id="{00000000-0008-0000-0200-000011010000}"/>
            </a:ext>
          </a:extLst>
        </xdr:cNvPr>
        <xdr:cNvPicPr preferRelativeResize="0"/>
      </xdr:nvPicPr>
      <xdr:blipFill>
        <a:blip xmlns:r="http://schemas.openxmlformats.org/officeDocument/2006/relationships" r:embed="rId269" cstate="print"/>
        <a:stretch>
          <a:fillRect/>
        </a:stretch>
      </xdr:blipFill>
      <xdr:spPr>
        <a:prstGeom prst="rect">
          <a:avLst/>
        </a:prstGeom>
        <a:noFill/>
      </xdr:spPr>
    </xdr:pic>
    <xdr:clientData fLocksWithSheet="0"/>
  </xdr:oneCellAnchor>
  <xdr:oneCellAnchor>
    <xdr:from>
      <xdr:col>3</xdr:col>
      <xdr:colOff>0</xdr:colOff>
      <xdr:row>173</xdr:row>
      <xdr:rowOff>0</xdr:rowOff>
    </xdr:from>
    <xdr:ext cx="2019300" cy="2085975"/>
    <xdr:pic>
      <xdr:nvPicPr>
        <xdr:cNvPr id="274" name="image275.png" title="Imagen">
          <a:extLst>
            <a:ext uri="{FF2B5EF4-FFF2-40B4-BE49-F238E27FC236}">
              <a16:creationId xmlns:a16="http://schemas.microsoft.com/office/drawing/2014/main" id="{00000000-0008-0000-0200-000012010000}"/>
            </a:ext>
          </a:extLst>
        </xdr:cNvPr>
        <xdr:cNvPicPr preferRelativeResize="0"/>
      </xdr:nvPicPr>
      <xdr:blipFill>
        <a:blip xmlns:r="http://schemas.openxmlformats.org/officeDocument/2006/relationships" r:embed="rId270" cstate="print"/>
        <a:stretch>
          <a:fillRect/>
        </a:stretch>
      </xdr:blipFill>
      <xdr:spPr>
        <a:prstGeom prst="rect">
          <a:avLst/>
        </a:prstGeom>
        <a:noFill/>
      </xdr:spPr>
    </xdr:pic>
    <xdr:clientData fLocksWithSheet="0"/>
  </xdr:oneCellAnchor>
  <xdr:oneCellAnchor>
    <xdr:from>
      <xdr:col>2</xdr:col>
      <xdr:colOff>0</xdr:colOff>
      <xdr:row>174</xdr:row>
      <xdr:rowOff>0</xdr:rowOff>
    </xdr:from>
    <xdr:ext cx="2324100" cy="2076450"/>
    <xdr:pic>
      <xdr:nvPicPr>
        <xdr:cNvPr id="275" name="image258.png" title="Imagen">
          <a:extLst>
            <a:ext uri="{FF2B5EF4-FFF2-40B4-BE49-F238E27FC236}">
              <a16:creationId xmlns:a16="http://schemas.microsoft.com/office/drawing/2014/main" id="{00000000-0008-0000-0200-000013010000}"/>
            </a:ext>
          </a:extLst>
        </xdr:cNvPr>
        <xdr:cNvPicPr preferRelativeResize="0"/>
      </xdr:nvPicPr>
      <xdr:blipFill>
        <a:blip xmlns:r="http://schemas.openxmlformats.org/officeDocument/2006/relationships" r:embed="rId271" cstate="print"/>
        <a:stretch>
          <a:fillRect/>
        </a:stretch>
      </xdr:blipFill>
      <xdr:spPr>
        <a:prstGeom prst="rect">
          <a:avLst/>
        </a:prstGeom>
        <a:noFill/>
      </xdr:spPr>
    </xdr:pic>
    <xdr:clientData fLocksWithSheet="0"/>
  </xdr:oneCellAnchor>
  <xdr:oneCellAnchor>
    <xdr:from>
      <xdr:col>3</xdr:col>
      <xdr:colOff>0</xdr:colOff>
      <xdr:row>174</xdr:row>
      <xdr:rowOff>0</xdr:rowOff>
    </xdr:from>
    <xdr:ext cx="1171575" cy="2085975"/>
    <xdr:pic>
      <xdr:nvPicPr>
        <xdr:cNvPr id="276" name="image265.jpg">
          <a:extLst>
            <a:ext uri="{FF2B5EF4-FFF2-40B4-BE49-F238E27FC236}">
              <a16:creationId xmlns:a16="http://schemas.microsoft.com/office/drawing/2014/main" id="{00000000-0008-0000-0200-000014010000}"/>
            </a:ext>
          </a:extLst>
        </xdr:cNvPr>
        <xdr:cNvPicPr preferRelativeResize="0"/>
      </xdr:nvPicPr>
      <xdr:blipFill>
        <a:blip xmlns:r="http://schemas.openxmlformats.org/officeDocument/2006/relationships" r:embed="rId272" cstate="print"/>
        <a:stretch>
          <a:fillRect/>
        </a:stretch>
      </xdr:blipFill>
      <xdr:spPr>
        <a:prstGeom prst="rect">
          <a:avLst/>
        </a:prstGeom>
        <a:noFill/>
      </xdr:spPr>
    </xdr:pic>
    <xdr:clientData fLocksWithSheet="0"/>
  </xdr:oneCellAnchor>
  <xdr:oneCellAnchor>
    <xdr:from>
      <xdr:col>2</xdr:col>
      <xdr:colOff>0</xdr:colOff>
      <xdr:row>175</xdr:row>
      <xdr:rowOff>0</xdr:rowOff>
    </xdr:from>
    <xdr:ext cx="2038350" cy="2085975"/>
    <xdr:pic>
      <xdr:nvPicPr>
        <xdr:cNvPr id="277" name="image274.png">
          <a:extLst>
            <a:ext uri="{FF2B5EF4-FFF2-40B4-BE49-F238E27FC236}">
              <a16:creationId xmlns:a16="http://schemas.microsoft.com/office/drawing/2014/main" id="{00000000-0008-0000-0200-000015010000}"/>
            </a:ext>
          </a:extLst>
        </xdr:cNvPr>
        <xdr:cNvPicPr preferRelativeResize="0"/>
      </xdr:nvPicPr>
      <xdr:blipFill>
        <a:blip xmlns:r="http://schemas.openxmlformats.org/officeDocument/2006/relationships" r:embed="rId273" cstate="print"/>
        <a:stretch>
          <a:fillRect/>
        </a:stretch>
      </xdr:blipFill>
      <xdr:spPr>
        <a:prstGeom prst="rect">
          <a:avLst/>
        </a:prstGeom>
        <a:noFill/>
      </xdr:spPr>
    </xdr:pic>
    <xdr:clientData fLocksWithSheet="0"/>
  </xdr:oneCellAnchor>
  <xdr:oneCellAnchor>
    <xdr:from>
      <xdr:col>2</xdr:col>
      <xdr:colOff>0</xdr:colOff>
      <xdr:row>176</xdr:row>
      <xdr:rowOff>0</xdr:rowOff>
    </xdr:from>
    <xdr:ext cx="3057525" cy="2085975"/>
    <xdr:pic>
      <xdr:nvPicPr>
        <xdr:cNvPr id="278" name="image255.png">
          <a:extLst>
            <a:ext uri="{FF2B5EF4-FFF2-40B4-BE49-F238E27FC236}">
              <a16:creationId xmlns:a16="http://schemas.microsoft.com/office/drawing/2014/main" id="{00000000-0008-0000-0200-000016010000}"/>
            </a:ext>
          </a:extLst>
        </xdr:cNvPr>
        <xdr:cNvPicPr preferRelativeResize="0"/>
      </xdr:nvPicPr>
      <xdr:blipFill>
        <a:blip xmlns:r="http://schemas.openxmlformats.org/officeDocument/2006/relationships" r:embed="rId274" cstate="print"/>
        <a:stretch>
          <a:fillRect/>
        </a:stretch>
      </xdr:blipFill>
      <xdr:spPr>
        <a:prstGeom prst="rect">
          <a:avLst/>
        </a:prstGeom>
        <a:noFill/>
      </xdr:spPr>
    </xdr:pic>
    <xdr:clientData fLocksWithSheet="0"/>
  </xdr:oneCellAnchor>
  <xdr:oneCellAnchor>
    <xdr:from>
      <xdr:col>2</xdr:col>
      <xdr:colOff>0</xdr:colOff>
      <xdr:row>177</xdr:row>
      <xdr:rowOff>0</xdr:rowOff>
    </xdr:from>
    <xdr:ext cx="3600450" cy="1943100"/>
    <xdr:pic>
      <xdr:nvPicPr>
        <xdr:cNvPr id="279" name="image270.png" title="Imagen">
          <a:extLst>
            <a:ext uri="{FF2B5EF4-FFF2-40B4-BE49-F238E27FC236}">
              <a16:creationId xmlns:a16="http://schemas.microsoft.com/office/drawing/2014/main" id="{00000000-0008-0000-0200-000017010000}"/>
            </a:ext>
          </a:extLst>
        </xdr:cNvPr>
        <xdr:cNvPicPr preferRelativeResize="0"/>
      </xdr:nvPicPr>
      <xdr:blipFill>
        <a:blip xmlns:r="http://schemas.openxmlformats.org/officeDocument/2006/relationships" r:embed="rId275" cstate="print"/>
        <a:stretch>
          <a:fillRect/>
        </a:stretch>
      </xdr:blipFill>
      <xdr:spPr>
        <a:prstGeom prst="rect">
          <a:avLst/>
        </a:prstGeom>
        <a:noFill/>
      </xdr:spPr>
    </xdr:pic>
    <xdr:clientData fLocksWithSheet="0"/>
  </xdr:oneCellAnchor>
  <xdr:oneCellAnchor>
    <xdr:from>
      <xdr:col>2</xdr:col>
      <xdr:colOff>0</xdr:colOff>
      <xdr:row>178</xdr:row>
      <xdr:rowOff>0</xdr:rowOff>
    </xdr:from>
    <xdr:ext cx="2114550" cy="2085975"/>
    <xdr:pic>
      <xdr:nvPicPr>
        <xdr:cNvPr id="280" name="image269.png">
          <a:extLst>
            <a:ext uri="{FF2B5EF4-FFF2-40B4-BE49-F238E27FC236}">
              <a16:creationId xmlns:a16="http://schemas.microsoft.com/office/drawing/2014/main" id="{00000000-0008-0000-0200-000018010000}"/>
            </a:ext>
          </a:extLst>
        </xdr:cNvPr>
        <xdr:cNvPicPr preferRelativeResize="0"/>
      </xdr:nvPicPr>
      <xdr:blipFill>
        <a:blip xmlns:r="http://schemas.openxmlformats.org/officeDocument/2006/relationships" r:embed="rId276" cstate="print"/>
        <a:stretch>
          <a:fillRect/>
        </a:stretch>
      </xdr:blipFill>
      <xdr:spPr>
        <a:prstGeom prst="rect">
          <a:avLst/>
        </a:prstGeom>
        <a:noFill/>
      </xdr:spPr>
    </xdr:pic>
    <xdr:clientData fLocksWithSheet="0"/>
  </xdr:oneCellAnchor>
  <xdr:oneCellAnchor>
    <xdr:from>
      <xdr:col>3</xdr:col>
      <xdr:colOff>0</xdr:colOff>
      <xdr:row>178</xdr:row>
      <xdr:rowOff>0</xdr:rowOff>
    </xdr:from>
    <xdr:ext cx="3152775" cy="1771650"/>
    <xdr:pic>
      <xdr:nvPicPr>
        <xdr:cNvPr id="281" name="image278.jpg">
          <a:extLst>
            <a:ext uri="{FF2B5EF4-FFF2-40B4-BE49-F238E27FC236}">
              <a16:creationId xmlns:a16="http://schemas.microsoft.com/office/drawing/2014/main" id="{00000000-0008-0000-0200-000019010000}"/>
            </a:ext>
          </a:extLst>
        </xdr:cNvPr>
        <xdr:cNvPicPr preferRelativeResize="0"/>
      </xdr:nvPicPr>
      <xdr:blipFill>
        <a:blip xmlns:r="http://schemas.openxmlformats.org/officeDocument/2006/relationships" r:embed="rId277" cstate="print"/>
        <a:stretch>
          <a:fillRect/>
        </a:stretch>
      </xdr:blipFill>
      <xdr:spPr>
        <a:prstGeom prst="rect">
          <a:avLst/>
        </a:prstGeom>
        <a:noFill/>
      </xdr:spPr>
    </xdr:pic>
    <xdr:clientData fLocksWithSheet="0"/>
  </xdr:oneCellAnchor>
  <xdr:oneCellAnchor>
    <xdr:from>
      <xdr:col>2</xdr:col>
      <xdr:colOff>0</xdr:colOff>
      <xdr:row>179</xdr:row>
      <xdr:rowOff>0</xdr:rowOff>
    </xdr:from>
    <xdr:ext cx="1981200" cy="2085975"/>
    <xdr:pic>
      <xdr:nvPicPr>
        <xdr:cNvPr id="282" name="image277.png" title="Imagen">
          <a:extLst>
            <a:ext uri="{FF2B5EF4-FFF2-40B4-BE49-F238E27FC236}">
              <a16:creationId xmlns:a16="http://schemas.microsoft.com/office/drawing/2014/main" id="{00000000-0008-0000-0200-00001A010000}"/>
            </a:ext>
          </a:extLst>
        </xdr:cNvPr>
        <xdr:cNvPicPr preferRelativeResize="0"/>
      </xdr:nvPicPr>
      <xdr:blipFill>
        <a:blip xmlns:r="http://schemas.openxmlformats.org/officeDocument/2006/relationships" r:embed="rId278" cstate="print"/>
        <a:stretch>
          <a:fillRect/>
        </a:stretch>
      </xdr:blipFill>
      <xdr:spPr>
        <a:prstGeom prst="rect">
          <a:avLst/>
        </a:prstGeom>
        <a:noFill/>
      </xdr:spPr>
    </xdr:pic>
    <xdr:clientData fLocksWithSheet="0"/>
  </xdr:oneCellAnchor>
  <xdr:oneCellAnchor>
    <xdr:from>
      <xdr:col>2</xdr:col>
      <xdr:colOff>0</xdr:colOff>
      <xdr:row>180</xdr:row>
      <xdr:rowOff>0</xdr:rowOff>
    </xdr:from>
    <xdr:ext cx="2238375" cy="2085975"/>
    <xdr:pic>
      <xdr:nvPicPr>
        <xdr:cNvPr id="283" name="image276.png">
          <a:extLst>
            <a:ext uri="{FF2B5EF4-FFF2-40B4-BE49-F238E27FC236}">
              <a16:creationId xmlns:a16="http://schemas.microsoft.com/office/drawing/2014/main" id="{00000000-0008-0000-0200-00001B010000}"/>
            </a:ext>
          </a:extLst>
        </xdr:cNvPr>
        <xdr:cNvPicPr preferRelativeResize="0"/>
      </xdr:nvPicPr>
      <xdr:blipFill>
        <a:blip xmlns:r="http://schemas.openxmlformats.org/officeDocument/2006/relationships" r:embed="rId279" cstate="print"/>
        <a:stretch>
          <a:fillRect/>
        </a:stretch>
      </xdr:blipFill>
      <xdr:spPr>
        <a:prstGeom prst="rect">
          <a:avLst/>
        </a:prstGeom>
        <a:noFill/>
      </xdr:spPr>
    </xdr:pic>
    <xdr:clientData fLocksWithSheet="0"/>
  </xdr:oneCellAnchor>
</xdr:wsDr>
</file>

<file path=xl/theme/theme1.xml><?xml version="1.0" encoding="utf-8"?>
<a:theme xmlns:a="http://schemas.openxmlformats.org/drawingml/2006/main" name="Sheets">
  <a:themeElements>
    <a:clrScheme name="Sheets">
      <a:dk1>
        <a:srgbClr val="000000"/>
      </a:dk1>
      <a:lt1>
        <a:srgbClr val="FFFFFF"/>
      </a:lt1>
      <a:dk2>
        <a:srgbClr val="000000"/>
      </a:dk2>
      <a:lt2>
        <a:srgbClr val="FFFFFF"/>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0563C1"/>
      </a:folHlink>
    </a:clrScheme>
    <a:fontScheme name="Sheets">
      <a:majorFont>
        <a:latin typeface="Calibri"/>
        <a:ea typeface="Calibri"/>
        <a:cs typeface="Calibri"/>
      </a:majorFont>
      <a:minorFont>
        <a:latin typeface="Calibri"/>
        <a:ea typeface="Calibri"/>
        <a:cs typeface="Calibri"/>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theme>
</file>

<file path=xl/worksheets/_rels/sheet1.xml.rels><?xml version="1.0" encoding="UTF-8" standalone="yes"?>
<Relationships xmlns="http://schemas.openxmlformats.org/package/2006/relationships"><Relationship Id="rId1" Type="http://schemas.openxmlformats.org/officeDocument/2006/relationships/drawing" Target="../drawings/drawing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200-000000000000}">
  <sheetPr>
    <pageSetUpPr fitToPage="1"/>
  </sheetPr>
  <dimension ref="A1:G181"/>
  <sheetViews>
    <sheetView showGridLines="0" tabSelected="1" workbookViewId="0">
      <pane ySplit="1" topLeftCell="A2" activePane="bottomLeft" state="frozen"/>
      <selection pane="bottomLeft" activeCell="B3" sqref="B3"/>
    </sheetView>
  </sheetViews>
  <sheetFormatPr baseColWidth="10" defaultColWidth="14.42578125" defaultRowHeight="15.75" customHeight="1" x14ac:dyDescent="0.2"/>
  <cols>
    <col min="1" max="1" width="16.28515625" customWidth="1"/>
    <col min="2" max="2" width="46.140625" customWidth="1"/>
    <col min="3" max="3" width="54" customWidth="1"/>
    <col min="4" max="4" width="47.28515625" customWidth="1"/>
    <col min="5" max="5" width="30.5703125" customWidth="1"/>
    <col min="6" max="6" width="27.7109375" hidden="1" customWidth="1"/>
    <col min="7" max="7" width="41.28515625" hidden="1" customWidth="1"/>
  </cols>
  <sheetData>
    <row r="1" spans="1:7" ht="36" customHeight="1" x14ac:dyDescent="0.2">
      <c r="A1" s="2" t="s">
        <v>0</v>
      </c>
      <c r="B1" s="3" t="s">
        <v>1</v>
      </c>
      <c r="C1" s="82" t="s">
        <v>2</v>
      </c>
      <c r="D1" s="81"/>
      <c r="E1" s="4" t="s">
        <v>3</v>
      </c>
      <c r="F1" s="5" t="s">
        <v>4</v>
      </c>
      <c r="G1" s="5"/>
    </row>
    <row r="2" spans="1:7" ht="164.25" customHeight="1" x14ac:dyDescent="0.2">
      <c r="A2" s="6">
        <v>10080042</v>
      </c>
      <c r="B2" s="7" t="s">
        <v>5</v>
      </c>
      <c r="C2" s="83"/>
      <c r="D2" s="81"/>
      <c r="E2" s="9">
        <f ca="1">IFERROR(__xludf.DUMMYFUNCTION("VLOOKUP(A2,IMPORTRANGE(""https://docs.google.com/spreadsheets/d/1A0CnpyGr8OFVIrVQpDOl87k8CW58idzvggycPxfU8h0/edit#gid=1298946326"",""Matriz Madre!B:j""),9,FALSE)"),30)</f>
        <v>30</v>
      </c>
      <c r="F2" s="10">
        <f ca="1">IFERROR(__xludf.DUMMYFUNCTION("VLOOKUP(A2,IMPORTRANGE(""https://docs.google.com/spreadsheets/d/1A0CnpyGr8OFVIrVQpDOl87k8CW58idzvggycPxfU8h0/edit#gid=1298946326"",""Hoja 6!A:G""),4,FALSE)"),60)</f>
        <v>60</v>
      </c>
      <c r="G2" s="11"/>
    </row>
    <row r="3" spans="1:7" ht="164.25" customHeight="1" x14ac:dyDescent="0.2">
      <c r="A3" s="6">
        <v>10080059</v>
      </c>
      <c r="B3" s="7" t="s">
        <v>6</v>
      </c>
      <c r="C3" s="3"/>
      <c r="D3" s="12"/>
      <c r="E3" s="9">
        <f ca="1">IFERROR(__xludf.DUMMYFUNCTION("VLOOKUP(A3,IMPORTRANGE(""https://docs.google.com/spreadsheets/d/1A0CnpyGr8OFVIrVQpDOl87k8CW58idzvggycPxfU8h0/edit#gid=1298946326"",""Matriz Madre!B:J""),9,FALSE)"),90)</f>
        <v>90</v>
      </c>
      <c r="F3" s="10">
        <f ca="1">IFERROR(__xludf.DUMMYFUNCTION("VLOOKUP(A3,IMPORTRANGE(""https://docs.google.com/spreadsheets/d/1A0CnpyGr8OFVIrVQpDOl87k8CW58idzvggycPxfU8h0/edit#gid=1298946326"",""Hoja 6!A:G""),4,FALSE)"),100)</f>
        <v>100</v>
      </c>
      <c r="G3" s="11"/>
    </row>
    <row r="4" spans="1:7" ht="164.25" hidden="1" customHeight="1" x14ac:dyDescent="0.2">
      <c r="A4" s="6">
        <v>20130023</v>
      </c>
      <c r="B4" s="7" t="s">
        <v>7</v>
      </c>
      <c r="C4" s="83"/>
      <c r="D4" s="81"/>
      <c r="E4" s="9">
        <f ca="1">IFERROR(__xludf.DUMMYFUNCTION("VLOOKUP(A4,IMPORTRANGE(""https://docs.google.com/spreadsheets/d/1A0CnpyGr8OFVIrVQpDOl87k8CW58idzvggycPxfU8h0/edit#gid=1298946326"",""Matriz Madre!B:J""),9,FALSE)"),50)</f>
        <v>50</v>
      </c>
      <c r="F4" s="10">
        <f ca="1">IFERROR(__xludf.DUMMYFUNCTION("VLOOKUP(A4,IMPORTRANGE(""https://docs.google.com/spreadsheets/d/1A0CnpyGr8OFVIrVQpDOl87k8CW58idzvggycPxfU8h0/edit#gid=1298946326"",""Hoja 6!A:G""),4,FALSE)"),70)</f>
        <v>70</v>
      </c>
      <c r="G4" s="11"/>
    </row>
    <row r="5" spans="1:7" ht="164.25" customHeight="1" x14ac:dyDescent="0.2">
      <c r="A5" s="6">
        <v>20130013</v>
      </c>
      <c r="B5" s="7" t="s">
        <v>8</v>
      </c>
      <c r="C5" s="8"/>
      <c r="D5" s="13"/>
      <c r="E5" s="9">
        <f ca="1">IFERROR(__xludf.DUMMYFUNCTION("VLOOKUP(A5,IMPORTRANGE(""https://docs.google.com/spreadsheets/d/1A0CnpyGr8OFVIrVQpDOl87k8CW58idzvggycPxfU8h0/edit#gid=1298946326"",""Matriz Madre!B:J""),9,FALSE)"),30)</f>
        <v>30</v>
      </c>
      <c r="F5" s="10">
        <f ca="1">IFERROR(__xludf.DUMMYFUNCTION("VLOOKUP(A5,IMPORTRANGE(""https://docs.google.com/spreadsheets/d/1A0CnpyGr8OFVIrVQpDOl87k8CW58idzvggycPxfU8h0/edit#gid=1298946326"",""Hoja 6!A:G""),4,FALSE)"),50)</f>
        <v>50</v>
      </c>
      <c r="G5" s="11"/>
    </row>
    <row r="6" spans="1:7" ht="164.25" customHeight="1" x14ac:dyDescent="0.2">
      <c r="A6" s="6">
        <v>20130005</v>
      </c>
      <c r="B6" s="7" t="s">
        <v>9</v>
      </c>
      <c r="C6" s="8"/>
      <c r="D6" s="13"/>
      <c r="E6" s="9">
        <f ca="1">IFERROR(__xludf.DUMMYFUNCTION("VLOOKUP(A6,IMPORTRANGE(""https://docs.google.com/spreadsheets/d/1A0CnpyGr8OFVIrVQpDOl87k8CW58idzvggycPxfU8h0/edit#gid=1298946326"",""Matriz Madre!B:J""),9,FALSE)"),190)</f>
        <v>190</v>
      </c>
      <c r="F6" s="10">
        <f ca="1">IFERROR(__xludf.DUMMYFUNCTION("VLOOKUP(A6,IMPORTRANGE(""https://docs.google.com/spreadsheets/d/1A0CnpyGr8OFVIrVQpDOl87k8CW58idzvggycPxfU8h0/edit#gid=1298946326"",""Hoja 6!A:G""),4,FALSE)"),230)</f>
        <v>230</v>
      </c>
      <c r="G6" s="11"/>
    </row>
    <row r="7" spans="1:7" ht="164.25" hidden="1" customHeight="1" x14ac:dyDescent="0.2">
      <c r="A7" s="6">
        <v>20130002</v>
      </c>
      <c r="B7" s="7" t="s">
        <v>10</v>
      </c>
      <c r="C7" s="83"/>
      <c r="D7" s="81"/>
      <c r="E7" s="9">
        <f ca="1">IFERROR(__xludf.DUMMYFUNCTION("VLOOKUP(A7,IMPORTRANGE(""https://docs.google.com/spreadsheets/d/1A0CnpyGr8OFVIrVQpDOl87k8CW58idzvggycPxfU8h0/edit#gid=1298946326"",""Matriz Madre!B:J""),9,FALSE)"),15)</f>
        <v>15</v>
      </c>
      <c r="F7" s="10">
        <f ca="1">IFERROR(__xludf.DUMMYFUNCTION("VLOOKUP(A7,IMPORTRANGE(""https://docs.google.com/spreadsheets/d/1A0CnpyGr8OFVIrVQpDOl87k8CW58idzvggycPxfU8h0/edit#gid=1298946326"",""Hoja 6!A:G""),4,FALSE)"),60)</f>
        <v>60</v>
      </c>
      <c r="G7" s="11"/>
    </row>
    <row r="8" spans="1:7" ht="164.25" hidden="1" customHeight="1" x14ac:dyDescent="0.2">
      <c r="A8" s="6">
        <v>10080058</v>
      </c>
      <c r="B8" s="7" t="s">
        <v>11</v>
      </c>
      <c r="C8" s="83"/>
      <c r="D8" s="81"/>
      <c r="E8" s="9">
        <f ca="1">IFERROR(__xludf.DUMMYFUNCTION("VLOOKUP(A8,IMPORTRANGE(""https://docs.google.com/spreadsheets/d/1A0CnpyGr8OFVIrVQpDOl87k8CW58idzvggycPxfU8h0/edit#gid=1298946326"",""Matriz Madre!B:J""),9,FALSE)"),30)</f>
        <v>30</v>
      </c>
      <c r="F8" s="10">
        <f ca="1">IFERROR(__xludf.DUMMYFUNCTION("VLOOKUP(A8,IMPORTRANGE(""https://docs.google.com/spreadsheets/d/1A0CnpyGr8OFVIrVQpDOl87k8CW58idzvggycPxfU8h0/edit#gid=1298946326"",""Hoja 6!A:G""),4,FALSE)"),50)</f>
        <v>50</v>
      </c>
      <c r="G8" s="11"/>
    </row>
    <row r="9" spans="1:7" ht="164.25" customHeight="1" x14ac:dyDescent="0.2">
      <c r="A9" s="6">
        <v>20130024</v>
      </c>
      <c r="B9" s="7" t="s">
        <v>12</v>
      </c>
      <c r="C9" s="8"/>
      <c r="D9" s="13"/>
      <c r="E9" s="9">
        <f ca="1">IFERROR(__xludf.DUMMYFUNCTION("VLOOKUP(A9,IMPORTRANGE(""https://docs.google.com/spreadsheets/d/1A0CnpyGr8OFVIrVQpDOl87k8CW58idzvggycPxfU8h0/edit#gid=1298946326"",""Matriz Madre!B:J""),9,FALSE)"),50)</f>
        <v>50</v>
      </c>
      <c r="F9" s="10">
        <f ca="1">IFERROR(__xludf.DUMMYFUNCTION("VLOOKUP(A9,IMPORTRANGE(""https://docs.google.com/spreadsheets/d/1A0CnpyGr8OFVIrVQpDOl87k8CW58idzvggycPxfU8h0/edit#gid=1298946326"",""Hoja 6!A:G""),4,FALSE)"),70)</f>
        <v>70</v>
      </c>
      <c r="G9" s="11"/>
    </row>
    <row r="10" spans="1:7" ht="164.25" customHeight="1" x14ac:dyDescent="0.2">
      <c r="A10" s="6">
        <v>10080015</v>
      </c>
      <c r="B10" s="7" t="s">
        <v>13</v>
      </c>
      <c r="C10" s="83"/>
      <c r="D10" s="81"/>
      <c r="E10" s="9">
        <f ca="1">IFERROR(__xludf.DUMMYFUNCTION("VLOOKUP(A10,IMPORTRANGE(""https://docs.google.com/spreadsheets/d/1A0CnpyGr8OFVIrVQpDOl87k8CW58idzvggycPxfU8h0/edit#gid=1298946326"",""Matriz Madre!B:J""),9,FALSE)"),60)</f>
        <v>60</v>
      </c>
      <c r="F10" s="10">
        <f ca="1">IFERROR(__xludf.DUMMYFUNCTION("VLOOKUP(A10,IMPORTRANGE(""https://docs.google.com/spreadsheets/d/1A0CnpyGr8OFVIrVQpDOl87k8CW58idzvggycPxfU8h0/edit#gid=1298946326"",""Hoja 6!A:G""),4,FALSE)"),80)</f>
        <v>80</v>
      </c>
      <c r="G10" s="11"/>
    </row>
    <row r="11" spans="1:7" ht="164.25" customHeight="1" x14ac:dyDescent="0.2">
      <c r="A11" s="6">
        <v>10080001</v>
      </c>
      <c r="B11" s="7" t="s">
        <v>14</v>
      </c>
      <c r="C11" s="8"/>
      <c r="D11" s="13"/>
      <c r="E11" s="9">
        <f ca="1">IFERROR(__xludf.DUMMYFUNCTION("VLOOKUP(A11,IMPORTRANGE(""https://docs.google.com/spreadsheets/d/1A0CnpyGr8OFVIrVQpDOl87k8CW58idzvggycPxfU8h0/edit#gid=1298946326"",""Matriz Madre!B:J""),9,FALSE)"),160)</f>
        <v>160</v>
      </c>
      <c r="F11" s="10">
        <f ca="1">IFERROR(__xludf.DUMMYFUNCTION("VLOOKUP(A11,IMPORTRANGE(""https://docs.google.com/spreadsheets/d/1A0CnpyGr8OFVIrVQpDOl87k8CW58idzvggycPxfU8h0/edit#gid=1298946326"",""Hoja 6!A:G""),4,FALSE)"),210)</f>
        <v>210</v>
      </c>
      <c r="G11" s="11"/>
    </row>
    <row r="12" spans="1:7" ht="164.25" customHeight="1" x14ac:dyDescent="0.2">
      <c r="A12" s="6">
        <v>10080040</v>
      </c>
      <c r="B12" s="7" t="s">
        <v>15</v>
      </c>
      <c r="C12" s="8"/>
      <c r="D12" s="13"/>
      <c r="E12" s="9">
        <f ca="1">IFERROR(__xludf.DUMMYFUNCTION("VLOOKUP(A12,IMPORTRANGE(""https://docs.google.com/spreadsheets/d/1A0CnpyGr8OFVIrVQpDOl87k8CW58idzvggycPxfU8h0/edit#gid=1298946326"",""Matriz Madre!B:J""),9,FALSE)"),20)</f>
        <v>20</v>
      </c>
      <c r="F12" s="10">
        <f ca="1">IFERROR(__xludf.DUMMYFUNCTION("VLOOKUP(A12,IMPORTRANGE(""https://docs.google.com/spreadsheets/d/1A0CnpyGr8OFVIrVQpDOl87k8CW58idzvggycPxfU8h0/edit#gid=1298946326"",""Hoja 6!A:G""),4,FALSE)"),80)</f>
        <v>80</v>
      </c>
      <c r="G12" s="11"/>
    </row>
    <row r="13" spans="1:7" ht="164.25" customHeight="1" x14ac:dyDescent="0.2">
      <c r="A13" s="6">
        <v>10080039</v>
      </c>
      <c r="B13" s="7" t="s">
        <v>16</v>
      </c>
      <c r="C13" s="8"/>
      <c r="D13" s="13"/>
      <c r="E13" s="9">
        <f ca="1">IFERROR(__xludf.DUMMYFUNCTION("VLOOKUP(A13,IMPORTRANGE(""https://docs.google.com/spreadsheets/d/1A0CnpyGr8OFVIrVQpDOl87k8CW58idzvggycPxfU8h0/edit#gid=1298946326"",""Matriz Madre!B:J""),9,FALSE)"),30)</f>
        <v>30</v>
      </c>
      <c r="F13" s="10">
        <f ca="1">IFERROR(__xludf.DUMMYFUNCTION("VLOOKUP(A13,IMPORTRANGE(""https://docs.google.com/spreadsheets/d/1A0CnpyGr8OFVIrVQpDOl87k8CW58idzvggycPxfU8h0/edit#gid=1298946326"",""Hoja 6!A:G""),4,FALSE)"),120)</f>
        <v>120</v>
      </c>
      <c r="G13" s="11"/>
    </row>
    <row r="14" spans="1:7" ht="164.25" customHeight="1" x14ac:dyDescent="0.2">
      <c r="A14" s="6">
        <v>10080060</v>
      </c>
      <c r="B14" s="7" t="s">
        <v>17</v>
      </c>
      <c r="C14" s="8"/>
      <c r="D14" s="13"/>
      <c r="E14" s="9">
        <f ca="1">IFERROR(__xludf.DUMMYFUNCTION("VLOOKUP(A14,IMPORTRANGE(""https://docs.google.com/spreadsheets/d/1A0CnpyGr8OFVIrVQpDOl87k8CW58idzvggycPxfU8h0/edit#gid=1298946326"",""Matriz Madre!B:J""),9,FALSE)"),50)</f>
        <v>50</v>
      </c>
      <c r="F14" s="10">
        <f ca="1">IFERROR(__xludf.DUMMYFUNCTION("VLOOKUP(A14,IMPORTRANGE(""https://docs.google.com/spreadsheets/d/1A0CnpyGr8OFVIrVQpDOl87k8CW58idzvggycPxfU8h0/edit#gid=1298946326"",""Hoja 6!A:G""),4,FALSE)"),85)</f>
        <v>85</v>
      </c>
      <c r="G14" s="11"/>
    </row>
    <row r="15" spans="1:7" ht="164.25" customHeight="1" x14ac:dyDescent="0.2">
      <c r="A15" s="6">
        <v>10080031</v>
      </c>
      <c r="B15" s="7" t="s">
        <v>18</v>
      </c>
      <c r="C15" s="8"/>
      <c r="D15" s="13"/>
      <c r="E15" s="9">
        <f ca="1">IFERROR(__xludf.DUMMYFUNCTION("VLOOKUP(A15,IMPORTRANGE(""https://docs.google.com/spreadsheets/d/1A0CnpyGr8OFVIrVQpDOl87k8CW58idzvggycPxfU8h0/edit#gid=1298946326"",""Matriz Madre!B:J""),9,FALSE)"),40)</f>
        <v>40</v>
      </c>
      <c r="F15" s="10">
        <f ca="1">IFERROR(__xludf.DUMMYFUNCTION("VLOOKUP(A15,IMPORTRANGE(""https://docs.google.com/spreadsheets/d/1A0CnpyGr8OFVIrVQpDOl87k8CW58idzvggycPxfU8h0/edit#gid=1298946326"",""Hoja 6!A:G""),4,FALSE)"),90)</f>
        <v>90</v>
      </c>
      <c r="G15" s="11"/>
    </row>
    <row r="16" spans="1:7" ht="164.25" customHeight="1" x14ac:dyDescent="0.2">
      <c r="A16" s="6">
        <v>20130003</v>
      </c>
      <c r="B16" s="7" t="s">
        <v>19</v>
      </c>
      <c r="C16" s="83"/>
      <c r="D16" s="81"/>
      <c r="E16" s="9">
        <f ca="1">IFERROR(__xludf.DUMMYFUNCTION("VLOOKUP(A16,IMPORTRANGE(""https://docs.google.com/spreadsheets/d/1A0CnpyGr8OFVIrVQpDOl87k8CW58idzvggycPxfU8h0/edit#gid=1298946326"",""Matriz Madre!B:J""),9,FALSE)"),50)</f>
        <v>50</v>
      </c>
      <c r="F16" s="10">
        <f ca="1">IFERROR(__xludf.DUMMYFUNCTION("VLOOKUP(A16,IMPORTRANGE(""https://docs.google.com/spreadsheets/d/1A0CnpyGr8OFVIrVQpDOl87k8CW58idzvggycPxfU8h0/edit#gid=1298946326"",""Hoja 6!A:G""),4,FALSE)"),100)</f>
        <v>100</v>
      </c>
      <c r="G16" s="11"/>
    </row>
    <row r="17" spans="1:7" ht="164.25" customHeight="1" x14ac:dyDescent="0.2">
      <c r="A17" s="6">
        <v>10080051</v>
      </c>
      <c r="B17" s="7" t="s">
        <v>20</v>
      </c>
      <c r="C17" s="83"/>
      <c r="D17" s="81"/>
      <c r="E17" s="9">
        <f ca="1">IFERROR(__xludf.DUMMYFUNCTION("VLOOKUP(A17,IMPORTRANGE(""https://docs.google.com/spreadsheets/d/1A0CnpyGr8OFVIrVQpDOl87k8CW58idzvggycPxfU8h0/edit#gid=1298946326"",""Matriz Madre!B:J""),9,FALSE)"),80)</f>
        <v>80</v>
      </c>
      <c r="F17" s="10">
        <f ca="1">IFERROR(__xludf.DUMMYFUNCTION("VLOOKUP(A17,IMPORTRANGE(""https://docs.google.com/spreadsheets/d/1A0CnpyGr8OFVIrVQpDOl87k8CW58idzvggycPxfU8h0/edit#gid=1298946326"",""Hoja 6!A:G""),4,FALSE)"),85)</f>
        <v>85</v>
      </c>
      <c r="G17" s="11"/>
    </row>
    <row r="18" spans="1:7" ht="164.25" customHeight="1" x14ac:dyDescent="0.2">
      <c r="A18" s="6">
        <v>10050002</v>
      </c>
      <c r="B18" s="7" t="s">
        <v>21</v>
      </c>
      <c r="C18" s="8"/>
      <c r="D18" s="13"/>
      <c r="E18" s="9">
        <f ca="1">IFERROR(__xludf.DUMMYFUNCTION("VLOOKUP(A18,IMPORTRANGE(""https://docs.google.com/spreadsheets/d/1A0CnpyGr8OFVIrVQpDOl87k8CW58idzvggycPxfU8h0/edit#gid=1298946326"",""Matriz Madre!B:J""),9,FALSE)"),120)</f>
        <v>120</v>
      </c>
      <c r="F18" s="10">
        <f ca="1">IFERROR(__xludf.DUMMYFUNCTION("VLOOKUP(A18,IMPORTRANGE(""https://docs.google.com/spreadsheets/d/1A0CnpyGr8OFVIrVQpDOl87k8CW58idzvggycPxfU8h0/edit#gid=1298946326"",""Hoja 6!A:G""),4,FALSE)"),140)</f>
        <v>140</v>
      </c>
      <c r="G18" s="11"/>
    </row>
    <row r="19" spans="1:7" ht="164.25" customHeight="1" x14ac:dyDescent="0.2">
      <c r="A19" s="6">
        <v>10050001</v>
      </c>
      <c r="B19" s="7" t="s">
        <v>22</v>
      </c>
      <c r="C19" s="8"/>
      <c r="D19" s="13"/>
      <c r="E19" s="9">
        <f ca="1">IFERROR(__xludf.DUMMYFUNCTION("VLOOKUP(A19,IMPORTRANGE(""https://docs.google.com/spreadsheets/d/1A0CnpyGr8OFVIrVQpDOl87k8CW58idzvggycPxfU8h0/edit#gid=1298946326"",""Matriz Madre!B:J""),9,FALSE)"),200)</f>
        <v>200</v>
      </c>
      <c r="F19" s="10">
        <f ca="1">IFERROR(__xludf.DUMMYFUNCTION("VLOOKUP(A19,IMPORTRANGE(""https://docs.google.com/spreadsheets/d/1A0CnpyGr8OFVIrVQpDOl87k8CW58idzvggycPxfU8h0/edit#gid=1298946326"",""Hoja 6!A:G""),4,FALSE)"),220)</f>
        <v>220</v>
      </c>
      <c r="G19" s="11"/>
    </row>
    <row r="20" spans="1:7" ht="164.25" hidden="1" customHeight="1" x14ac:dyDescent="0.2">
      <c r="A20" s="6">
        <v>10080003</v>
      </c>
      <c r="B20" s="7" t="s">
        <v>23</v>
      </c>
      <c r="C20" s="83"/>
      <c r="D20" s="81"/>
      <c r="E20" s="9">
        <f ca="1">IFERROR(__xludf.DUMMYFUNCTION("VLOOKUP(A20,IMPORTRANGE(""https://docs.google.com/spreadsheets/d/1A0CnpyGr8OFVIrVQpDOl87k8CW58idzvggycPxfU8h0/edit#gid=1298946326"",""Matriz Madre!B:J""),9,FALSE)"),40)</f>
        <v>40</v>
      </c>
      <c r="F20" s="10">
        <f ca="1">IFERROR(__xludf.DUMMYFUNCTION("VLOOKUP(A20,IMPORTRANGE(""https://docs.google.com/spreadsheets/d/1A0CnpyGr8OFVIrVQpDOl87k8CW58idzvggycPxfU8h0/edit#gid=1298946326"",""Hoja 6!A:G""),4,FALSE)"),70)</f>
        <v>70</v>
      </c>
      <c r="G20" s="11"/>
    </row>
    <row r="21" spans="1:7" ht="164.25" customHeight="1" x14ac:dyDescent="0.2">
      <c r="A21" s="6">
        <v>10080035</v>
      </c>
      <c r="B21" s="7" t="s">
        <v>24</v>
      </c>
      <c r="C21" s="8"/>
      <c r="D21" s="13"/>
      <c r="E21" s="9">
        <f ca="1">IFERROR(__xludf.DUMMYFUNCTION("VLOOKUP(A21,IMPORTRANGE(""https://docs.google.com/spreadsheets/d/1A0CnpyGr8OFVIrVQpDOl87k8CW58idzvggycPxfU8h0/edit#gid=1298946326"",""Matriz Madre!B:J""),9,FALSE)"),40)</f>
        <v>40</v>
      </c>
      <c r="F21" s="10">
        <f ca="1">IFERROR(__xludf.DUMMYFUNCTION("VLOOKUP(A21,IMPORTRANGE(""https://docs.google.com/spreadsheets/d/1A0CnpyGr8OFVIrVQpDOl87k8CW58idzvggycPxfU8h0/edit#gid=1298946326"",""Hoja 6!A:G""),4,FALSE)"),90)</f>
        <v>90</v>
      </c>
      <c r="G21" s="11"/>
    </row>
    <row r="22" spans="1:7" ht="164.25" customHeight="1" x14ac:dyDescent="0.2">
      <c r="A22" s="6">
        <v>10080056</v>
      </c>
      <c r="B22" s="7" t="s">
        <v>25</v>
      </c>
      <c r="C22" s="14"/>
      <c r="D22" s="15"/>
      <c r="E22" s="9">
        <f ca="1">IFERROR(__xludf.DUMMYFUNCTION("VLOOKUP(A22,IMPORTRANGE(""https://docs.google.com/spreadsheets/d/1A0CnpyGr8OFVIrVQpDOl87k8CW58idzvggycPxfU8h0/edit#gid=1298946326"",""Matriz Madre!B:J""),9,FALSE)"),90)</f>
        <v>90</v>
      </c>
      <c r="F22" s="10">
        <f ca="1">IFERROR(__xludf.DUMMYFUNCTION("VLOOKUP(A22,IMPORTRANGE(""https://docs.google.com/spreadsheets/d/1A0CnpyGr8OFVIrVQpDOl87k8CW58idzvggycPxfU8h0/edit#gid=1298946326"",""Hoja 6!A:G""),4,FALSE)"),120)</f>
        <v>120</v>
      </c>
      <c r="G22" s="16"/>
    </row>
    <row r="23" spans="1:7" ht="164.25" customHeight="1" x14ac:dyDescent="0.2">
      <c r="A23" s="6">
        <v>10030001</v>
      </c>
      <c r="B23" s="7" t="s">
        <v>26</v>
      </c>
      <c r="C23" s="17"/>
      <c r="D23" s="13"/>
      <c r="E23" s="9">
        <f ca="1">IFERROR(__xludf.DUMMYFUNCTION("VLOOKUP(A23,IMPORTRANGE(""https://docs.google.com/spreadsheets/d/1A0CnpyGr8OFVIrVQpDOl87k8CW58idzvggycPxfU8h0/edit#gid=1298946326"",""Matriz Madre!B:J""),9,FALSE)"),60)</f>
        <v>60</v>
      </c>
      <c r="F23" s="10">
        <f ca="1">IFERROR(__xludf.DUMMYFUNCTION("VLOOKUP(A23,IMPORTRANGE(""https://docs.google.com/spreadsheets/d/1A0CnpyGr8OFVIrVQpDOl87k8CW58idzvggycPxfU8h0/edit#gid=1298946326"",""Hoja 6!A:G""),4,FALSE)"),110)</f>
        <v>110</v>
      </c>
      <c r="G23" s="11"/>
    </row>
    <row r="24" spans="1:7" ht="164.25" customHeight="1" x14ac:dyDescent="0.2">
      <c r="A24" s="6">
        <v>20200003</v>
      </c>
      <c r="B24" s="7" t="s">
        <v>27</v>
      </c>
      <c r="C24" s="8"/>
      <c r="D24" s="13"/>
      <c r="E24" s="9">
        <f ca="1">IFERROR(__xludf.DUMMYFUNCTION("VLOOKUP(A24,IMPORTRANGE(""https://docs.google.com/spreadsheets/d/1A0CnpyGr8OFVIrVQpDOl87k8CW58idzvggycPxfU8h0/edit#gid=1298946326"",""Matriz Madre!B:J""),9,FALSE)"),160)</f>
        <v>160</v>
      </c>
      <c r="F24" s="10">
        <f ca="1">IFERROR(__xludf.DUMMYFUNCTION("VLOOKUP(A24,IMPORTRANGE(""https://docs.google.com/spreadsheets/d/1A0CnpyGr8OFVIrVQpDOl87k8CW58idzvggycPxfU8h0/edit#gid=1298946326"",""Hoja 6!A:G""),4,FALSE)"),190)</f>
        <v>190</v>
      </c>
      <c r="G24" s="11"/>
    </row>
    <row r="25" spans="1:7" ht="164.25" hidden="1" customHeight="1" x14ac:dyDescent="0.2">
      <c r="A25" s="6">
        <v>20200001</v>
      </c>
      <c r="B25" s="7" t="s">
        <v>28</v>
      </c>
      <c r="C25" s="84"/>
      <c r="D25" s="81"/>
      <c r="E25" s="9">
        <f ca="1">IFERROR(__xludf.DUMMYFUNCTION("VLOOKUP(A25,IMPORTRANGE(""https://docs.google.com/spreadsheets/d/1A0CnpyGr8OFVIrVQpDOl87k8CW58idzvggycPxfU8h0/edit#gid=1298946326"",""Matriz Madre!B:J""),9,FALSE)"),30)</f>
        <v>30</v>
      </c>
      <c r="F25" s="10">
        <f ca="1">IFERROR(__xludf.DUMMYFUNCTION("VLOOKUP(A25,IMPORTRANGE(""https://docs.google.com/spreadsheets/d/1A0CnpyGr8OFVIrVQpDOl87k8CW58idzvggycPxfU8h0/edit#gid=1298946326"",""Hoja 6!A:G""),4,FALSE)"),70)</f>
        <v>70</v>
      </c>
      <c r="G25" s="11"/>
    </row>
    <row r="26" spans="1:7" ht="164.25" customHeight="1" x14ac:dyDescent="0.2">
      <c r="A26" s="6">
        <v>20130022</v>
      </c>
      <c r="B26" s="7" t="s">
        <v>29</v>
      </c>
      <c r="C26" s="8"/>
      <c r="D26" s="13"/>
      <c r="E26" s="9">
        <f ca="1">IFERROR(__xludf.DUMMYFUNCTION("VLOOKUP(A26,IMPORTRANGE(""https://docs.google.com/spreadsheets/d/1A0CnpyGr8OFVIrVQpDOl87k8CW58idzvggycPxfU8h0/edit#gid=1298946326"",""Matriz Madre!B:J""),9,FALSE)"),30)</f>
        <v>30</v>
      </c>
      <c r="F26" s="10">
        <f ca="1">IFERROR(__xludf.DUMMYFUNCTION("VLOOKUP(A26,IMPORTRANGE(""https://docs.google.com/spreadsheets/d/1A0CnpyGr8OFVIrVQpDOl87k8CW58idzvggycPxfU8h0/edit#gid=1298946326"",""Hoja 6!A:G""),4,FALSE)"),60)</f>
        <v>60</v>
      </c>
      <c r="G26" s="11"/>
    </row>
    <row r="27" spans="1:7" ht="164.25" customHeight="1" x14ac:dyDescent="0.2">
      <c r="A27" s="6">
        <v>20080001</v>
      </c>
      <c r="B27" s="7" t="s">
        <v>30</v>
      </c>
      <c r="C27" s="8"/>
      <c r="D27" s="13"/>
      <c r="E27" s="9">
        <f ca="1">IFERROR(__xludf.DUMMYFUNCTION("VLOOKUP(A27,IMPORTRANGE(""https://docs.google.com/spreadsheets/d/1A0CnpyGr8OFVIrVQpDOl87k8CW58idzvggycPxfU8h0/edit#gid=1298946326"",""Matriz Madre!B:J""),9,FALSE)"),40)</f>
        <v>40</v>
      </c>
      <c r="F27" s="10">
        <f ca="1">IFERROR(__xludf.DUMMYFUNCTION("VLOOKUP(A27,IMPORTRANGE(""https://docs.google.com/spreadsheets/d/1A0CnpyGr8OFVIrVQpDOl87k8CW58idzvggycPxfU8h0/edit#gid=1298946326"",""Hoja 6!A:G""),4,FALSE)"),90)</f>
        <v>90</v>
      </c>
      <c r="G27" s="11"/>
    </row>
    <row r="28" spans="1:7" ht="164.25" customHeight="1" x14ac:dyDescent="0.2">
      <c r="A28" s="6">
        <v>20130017</v>
      </c>
      <c r="B28" s="7" t="s">
        <v>31</v>
      </c>
      <c r="C28" s="8"/>
      <c r="D28" s="13"/>
      <c r="E28" s="9">
        <f ca="1">IFERROR(__xludf.DUMMYFUNCTION("VLOOKUP(A28,IMPORTRANGE(""https://docs.google.com/spreadsheets/d/1A0CnpyGr8OFVIrVQpDOl87k8CW58idzvggycPxfU8h0/edit#gid=1298946326"",""Matriz Madre!B:J""),9,FALSE)"),30)</f>
        <v>30</v>
      </c>
      <c r="F28" s="10">
        <f ca="1">IFERROR(__xludf.DUMMYFUNCTION("VLOOKUP(A28,IMPORTRANGE(""https://docs.google.com/spreadsheets/d/1A0CnpyGr8OFVIrVQpDOl87k8CW58idzvggycPxfU8h0/edit#gid=1298946326"",""Hoja 6!A:G""),4,FALSE)"),80)</f>
        <v>80</v>
      </c>
      <c r="G28" s="11"/>
    </row>
    <row r="29" spans="1:7" ht="164.25" customHeight="1" x14ac:dyDescent="0.2">
      <c r="A29" s="6">
        <v>20130028</v>
      </c>
      <c r="B29" s="7" t="s">
        <v>32</v>
      </c>
      <c r="C29" s="8"/>
      <c r="D29" s="13"/>
      <c r="E29" s="9">
        <f ca="1">IFERROR(__xludf.DUMMYFUNCTION("VLOOKUP(A29,IMPORTRANGE(""https://docs.google.com/spreadsheets/d/1A0CnpyGr8OFVIrVQpDOl87k8CW58idzvggycPxfU8h0/edit#gid=1298946326"",""Matriz Madre!B:J""),9,FALSE)"),250)</f>
        <v>250</v>
      </c>
      <c r="F29" s="10">
        <f ca="1">IFERROR(__xludf.DUMMYFUNCTION("VLOOKUP(A29,IMPORTRANGE(""https://docs.google.com/spreadsheets/d/1A0CnpyGr8OFVIrVQpDOl87k8CW58idzvggycPxfU8h0/edit#gid=1298946326"",""Hoja 6!A:G""),4,FALSE)"),300)</f>
        <v>300</v>
      </c>
      <c r="G29" s="11"/>
    </row>
    <row r="30" spans="1:7" ht="164.25" customHeight="1" x14ac:dyDescent="0.2">
      <c r="A30" s="6">
        <v>10080025</v>
      </c>
      <c r="B30" s="7" t="s">
        <v>33</v>
      </c>
      <c r="C30" s="8"/>
      <c r="D30" s="13"/>
      <c r="E30" s="9">
        <f ca="1">IFERROR(__xludf.DUMMYFUNCTION("VLOOKUP(A30,IMPORTRANGE(""https://docs.google.com/spreadsheets/d/1A0CnpyGr8OFVIrVQpDOl87k8CW58idzvggycPxfU8h0/edit#gid=1298946326"",""Matriz Madre!B:J""),9,FALSE)"),60)</f>
        <v>60</v>
      </c>
      <c r="F30" s="10">
        <f ca="1">IFERROR(__xludf.DUMMYFUNCTION("VLOOKUP(A30,IMPORTRANGE(""https://docs.google.com/spreadsheets/d/1A0CnpyGr8OFVIrVQpDOl87k8CW58idzvggycPxfU8h0/edit#gid=1298946326"",""Hoja 6!A:G""),4,FALSE)"),110)</f>
        <v>110</v>
      </c>
      <c r="G30" s="11"/>
    </row>
    <row r="31" spans="1:7" ht="164.25" hidden="1" customHeight="1" x14ac:dyDescent="0.2">
      <c r="A31" s="6">
        <v>10110022</v>
      </c>
      <c r="B31" s="7" t="s">
        <v>34</v>
      </c>
      <c r="C31" s="83"/>
      <c r="D31" s="81"/>
      <c r="E31" s="9">
        <f ca="1">IFERROR(__xludf.DUMMYFUNCTION("VLOOKUP(A31,IMPORTRANGE(""https://docs.google.com/spreadsheets/d/1A0CnpyGr8OFVIrVQpDOl87k8CW58idzvggycPxfU8h0/edit#gid=1298946326"",""Matriz Madre!B:J""),9,FALSE)"),90)</f>
        <v>90</v>
      </c>
      <c r="F31" s="10">
        <f ca="1">IFERROR(__xludf.DUMMYFUNCTION("VLOOKUP(A31,IMPORTRANGE(""https://docs.google.com/spreadsheets/d/1A0CnpyGr8OFVIrVQpDOl87k8CW58idzvggycPxfU8h0/edit#gid=1298946326"",""Hoja 6!A:G""),4,FALSE)"),150)</f>
        <v>150</v>
      </c>
      <c r="G31" s="11"/>
    </row>
    <row r="32" spans="1:7" ht="164.25" customHeight="1" x14ac:dyDescent="0.2">
      <c r="A32" s="6">
        <v>20130019</v>
      </c>
      <c r="B32" s="7" t="s">
        <v>35</v>
      </c>
      <c r="C32" s="83"/>
      <c r="D32" s="81"/>
      <c r="E32" s="9">
        <f ca="1">IFERROR(__xludf.DUMMYFUNCTION("VLOOKUP(A32,IMPORTRANGE(""https://docs.google.com/spreadsheets/d/1A0CnpyGr8OFVIrVQpDOl87k8CW58idzvggycPxfU8h0/edit#gid=1298946326"",""Matriz Madre!B:J""),9,FALSE)"),30)</f>
        <v>30</v>
      </c>
      <c r="F32" s="10">
        <f ca="1">IFERROR(__xludf.DUMMYFUNCTION("VLOOKUP(A32,IMPORTRANGE(""https://docs.google.com/spreadsheets/d/1A0CnpyGr8OFVIrVQpDOl87k8CW58idzvggycPxfU8h0/edit#gid=1298946326"",""Hoja 6!A:G""),4,FALSE)"),60)</f>
        <v>60</v>
      </c>
      <c r="G32" s="11"/>
    </row>
    <row r="33" spans="1:7" ht="164.25" customHeight="1" x14ac:dyDescent="0.2">
      <c r="A33" s="6">
        <v>20200005</v>
      </c>
      <c r="B33" s="7" t="s">
        <v>36</v>
      </c>
      <c r="C33" s="83"/>
      <c r="D33" s="81"/>
      <c r="E33" s="9">
        <f ca="1">IFERROR(__xludf.DUMMYFUNCTION("VLOOKUP(A33,IMPORTRANGE(""https://docs.google.com/spreadsheets/d/1A0CnpyGr8OFVIrVQpDOl87k8CW58idzvggycPxfU8h0/edit#gid=1298946326"",""Matriz Madre!B:J""),9,FALSE)"),20)</f>
        <v>20</v>
      </c>
      <c r="F33" s="10">
        <f ca="1">IFERROR(__xludf.DUMMYFUNCTION("VLOOKUP(A33,IMPORTRANGE(""https://docs.google.com/spreadsheets/d/1A0CnpyGr8OFVIrVQpDOl87k8CW58idzvggycPxfU8h0/edit#gid=1298946326"",""Hoja 6!A:G""),4,FALSE)"),60)</f>
        <v>60</v>
      </c>
      <c r="G33" s="11"/>
    </row>
    <row r="34" spans="1:7" ht="164.25" customHeight="1" x14ac:dyDescent="0.2">
      <c r="A34" s="6">
        <v>20200004</v>
      </c>
      <c r="B34" s="7" t="s">
        <v>37</v>
      </c>
      <c r="C34" s="83"/>
      <c r="D34" s="81"/>
      <c r="E34" s="9">
        <f ca="1">IFERROR(__xludf.DUMMYFUNCTION("VLOOKUP(A34,IMPORTRANGE(""https://docs.google.com/spreadsheets/d/1A0CnpyGr8OFVIrVQpDOl87k8CW58idzvggycPxfU8h0/edit#gid=1298946326"",""Matriz Madre!B:J""),9,FALSE)"),5)</f>
        <v>5</v>
      </c>
      <c r="F34" s="10">
        <f ca="1">IFERROR(__xludf.DUMMYFUNCTION("VLOOKUP(A34,IMPORTRANGE(""https://docs.google.com/spreadsheets/d/1A0CnpyGr8OFVIrVQpDOl87k8CW58idzvggycPxfU8h0/edit#gid=1298946326"",""Hoja 6!A:G""),4,FALSE)"),20)</f>
        <v>20</v>
      </c>
      <c r="G34" s="11"/>
    </row>
    <row r="35" spans="1:7" ht="164.25" customHeight="1" x14ac:dyDescent="0.2">
      <c r="A35" s="6">
        <v>10080053</v>
      </c>
      <c r="B35" s="7" t="s">
        <v>38</v>
      </c>
      <c r="C35" s="83"/>
      <c r="D35" s="81"/>
      <c r="E35" s="9">
        <f ca="1">IFERROR(__xludf.DUMMYFUNCTION("VLOOKUP(A35,IMPORTRANGE(""https://docs.google.com/spreadsheets/d/1A0CnpyGr8OFVIrVQpDOl87k8CW58idzvggycPxfU8h0/edit#gid=1298946326"",""Matriz Madre!B:J""),9,FALSE)"),5)</f>
        <v>5</v>
      </c>
      <c r="F35" s="10">
        <f ca="1">IFERROR(__xludf.DUMMYFUNCTION("VLOOKUP(A35,IMPORTRANGE(""https://docs.google.com/spreadsheets/d/1A0CnpyGr8OFVIrVQpDOl87k8CW58idzvggycPxfU8h0/edit#gid=1298946326"",""Hoja 6!A:G""),4,FALSE)"),20)</f>
        <v>20</v>
      </c>
      <c r="G35" s="11"/>
    </row>
    <row r="36" spans="1:7" ht="164.25" customHeight="1" x14ac:dyDescent="0.2">
      <c r="A36" s="6">
        <v>10080303</v>
      </c>
      <c r="B36" s="7" t="s">
        <v>39</v>
      </c>
      <c r="C36" s="83"/>
      <c r="D36" s="81"/>
      <c r="E36" s="9">
        <f ca="1">IFERROR(__xludf.DUMMYFUNCTION("VLOOKUP(A36,IMPORTRANGE(""https://docs.google.com/spreadsheets/d/1A0CnpyGr8OFVIrVQpDOl87k8CW58idzvggycPxfU8h0/edit#gid=1298946326"",""Matriz Madre!B:J""),9,FALSE)"),140)</f>
        <v>140</v>
      </c>
      <c r="F36" s="10">
        <f ca="1">IFERROR(__xludf.DUMMYFUNCTION("VLOOKUP(A36,IMPORTRANGE(""https://docs.google.com/spreadsheets/d/1A0CnpyGr8OFVIrVQpDOl87k8CW58idzvggycPxfU8h0/edit#gid=1298946326"",""Hoja 6!A:G""),4,FALSE)"),150)</f>
        <v>150</v>
      </c>
      <c r="G36" s="11"/>
    </row>
    <row r="37" spans="1:7" ht="164.25" customHeight="1" x14ac:dyDescent="0.2">
      <c r="A37" s="6">
        <v>10080302</v>
      </c>
      <c r="B37" s="7" t="s">
        <v>40</v>
      </c>
      <c r="C37" s="83"/>
      <c r="D37" s="81"/>
      <c r="E37" s="9">
        <f ca="1">IFERROR(__xludf.DUMMYFUNCTION("VLOOKUP(A37,IMPORTRANGE(""https://docs.google.com/spreadsheets/d/1A0CnpyGr8OFVIrVQpDOl87k8CW58idzvggycPxfU8h0/edit#gid=1298946326"",""Matriz Madre!B:J""),9,FALSE)"),60)</f>
        <v>60</v>
      </c>
      <c r="F37" s="10">
        <f ca="1">IFERROR(__xludf.DUMMYFUNCTION("VLOOKUP(A37,IMPORTRANGE(""https://docs.google.com/spreadsheets/d/1A0CnpyGr8OFVIrVQpDOl87k8CW58idzvggycPxfU8h0/edit#gid=1298946326"",""Hoja 6!A:G""),4,FALSE)"),90)</f>
        <v>90</v>
      </c>
      <c r="G37" s="11"/>
    </row>
    <row r="38" spans="1:7" ht="164.25" customHeight="1" x14ac:dyDescent="0.2">
      <c r="A38" s="6">
        <v>20130015</v>
      </c>
      <c r="B38" s="7" t="s">
        <v>41</v>
      </c>
      <c r="C38" s="83"/>
      <c r="D38" s="81"/>
      <c r="E38" s="9">
        <f ca="1">IFERROR(__xludf.DUMMYFUNCTION("VLOOKUP(A38,IMPORTRANGE(""https://docs.google.com/spreadsheets/d/1A0CnpyGr8OFVIrVQpDOl87k8CW58idzvggycPxfU8h0/edit#gid=1298946326"",""Matriz Madre!B:J""),9,FALSE)"),45)</f>
        <v>45</v>
      </c>
      <c r="F38" s="10">
        <f ca="1">IFERROR(__xludf.DUMMYFUNCTION("VLOOKUP(A38,IMPORTRANGE(""https://docs.google.com/spreadsheets/d/1A0CnpyGr8OFVIrVQpDOl87k8CW58idzvggycPxfU8h0/edit#gid=1298946326"",""Hoja 6!A:G""),4,FALSE)"),65)</f>
        <v>65</v>
      </c>
      <c r="G38" s="11"/>
    </row>
    <row r="39" spans="1:7" ht="164.25" customHeight="1" x14ac:dyDescent="0.2">
      <c r="A39" s="6">
        <v>20130008</v>
      </c>
      <c r="B39" s="7" t="s">
        <v>42</v>
      </c>
      <c r="C39" s="8"/>
      <c r="D39" s="13"/>
      <c r="E39" s="9">
        <f ca="1">IFERROR(__xludf.DUMMYFUNCTION("VLOOKUP(A39,IMPORTRANGE(""https://docs.google.com/spreadsheets/d/1A0CnpyGr8OFVIrVQpDOl87k8CW58idzvggycPxfU8h0/edit#gid=1298946326"",""Matriz Madre!B:J""),9,FALSE)"),50)</f>
        <v>50</v>
      </c>
      <c r="F39" s="10">
        <f ca="1">IFERROR(__xludf.DUMMYFUNCTION("VLOOKUP(A39,IMPORTRANGE(""https://docs.google.com/spreadsheets/d/1A0CnpyGr8OFVIrVQpDOl87k8CW58idzvggycPxfU8h0/edit#gid=1298946326"",""Hoja 6!A:G""),4,FALSE)"),80)</f>
        <v>80</v>
      </c>
      <c r="G39" s="11"/>
    </row>
    <row r="40" spans="1:7" ht="164.25" customHeight="1" x14ac:dyDescent="0.2">
      <c r="A40" s="6">
        <v>10080011</v>
      </c>
      <c r="B40" s="7" t="s">
        <v>43</v>
      </c>
      <c r="C40" s="8"/>
      <c r="D40" s="13"/>
      <c r="E40" s="9">
        <f ca="1">IFERROR(__xludf.DUMMYFUNCTION("VLOOKUP(A40,IMPORTRANGE(""https://docs.google.com/spreadsheets/d/1A0CnpyGr8OFVIrVQpDOl87k8CW58idzvggycPxfU8h0/edit#gid=1298946326"",""Matriz Madre!B:J""),9,FALSE)"),20)</f>
        <v>20</v>
      </c>
      <c r="F40" s="10">
        <f ca="1">IFERROR(__xludf.DUMMYFUNCTION("VLOOKUP(A40,IMPORTRANGE(""https://docs.google.com/spreadsheets/d/1A0CnpyGr8OFVIrVQpDOl87k8CW58idzvggycPxfU8h0/edit#gid=1298946326"",""Hoja 6!A:G""),4,FALSE)"),50)</f>
        <v>50</v>
      </c>
      <c r="G40" s="11"/>
    </row>
    <row r="41" spans="1:7" ht="164.25" customHeight="1" x14ac:dyDescent="0.2">
      <c r="A41" s="6">
        <v>20130029</v>
      </c>
      <c r="B41" s="7" t="s">
        <v>44</v>
      </c>
      <c r="C41" s="8"/>
      <c r="D41" s="13"/>
      <c r="E41" s="9">
        <f ca="1">IFERROR(__xludf.DUMMYFUNCTION("VLOOKUP(A41,IMPORTRANGE(""https://docs.google.com/spreadsheets/d/1A0CnpyGr8OFVIrVQpDOl87k8CW58idzvggycPxfU8h0/edit#gid=1298946326"",""Matriz Madre!B:J""),9,FALSE)"),20)</f>
        <v>20</v>
      </c>
      <c r="F41" s="10">
        <f ca="1">IFERROR(__xludf.DUMMYFUNCTION("VLOOKUP(A41,IMPORTRANGE(""https://docs.google.com/spreadsheets/d/1A0CnpyGr8OFVIrVQpDOl87k8CW58idzvggycPxfU8h0/edit#gid=1298946326"",""Hoja 6!A:G""),4,FALSE)"),50)</f>
        <v>50</v>
      </c>
      <c r="G41" s="11"/>
    </row>
    <row r="42" spans="1:7" ht="164.25" customHeight="1" x14ac:dyDescent="0.2">
      <c r="A42" s="6">
        <v>10080061</v>
      </c>
      <c r="B42" s="7" t="s">
        <v>45</v>
      </c>
      <c r="C42" s="8"/>
      <c r="D42" s="13"/>
      <c r="E42" s="9">
        <f ca="1">IFERROR(__xludf.DUMMYFUNCTION("VLOOKUP(A42,IMPORTRANGE(""https://docs.google.com/spreadsheets/d/1A0CnpyGr8OFVIrVQpDOl87k8CW58idzvggycPxfU8h0/edit#gid=1298946326"",""Matriz Madre!B:J""),9,FALSE)"),85.9)</f>
        <v>85.9</v>
      </c>
      <c r="F42" s="10">
        <f ca="1">IFERROR(__xludf.DUMMYFUNCTION("VLOOKUP(A42,IMPORTRANGE(""https://docs.google.com/spreadsheets/d/1A0CnpyGr8OFVIrVQpDOl87k8CW58idzvggycPxfU8h0/edit#gid=1298946326"",""Hoja 6!A:G""),4,FALSE)"),150)</f>
        <v>150</v>
      </c>
      <c r="G42" s="11"/>
    </row>
    <row r="43" spans="1:7" ht="164.25" customHeight="1" x14ac:dyDescent="0.2">
      <c r="A43" s="6">
        <v>10080062</v>
      </c>
      <c r="B43" s="7" t="s">
        <v>46</v>
      </c>
      <c r="C43" s="8"/>
      <c r="D43" s="13"/>
      <c r="E43" s="9">
        <f ca="1">IFERROR(__xludf.DUMMYFUNCTION("VLOOKUP(A43,IMPORTRANGE(""https://docs.google.com/spreadsheets/d/1A0CnpyGr8OFVIrVQpDOl87k8CW58idzvggycPxfU8h0/edit#gid=1298946326"",""Matriz Madre!B:J""),9,FALSE)"),130)</f>
        <v>130</v>
      </c>
      <c r="F43" s="10">
        <f ca="1">IFERROR(__xludf.DUMMYFUNCTION("VLOOKUP(A43,IMPORTRANGE(""https://docs.google.com/spreadsheets/d/1A0CnpyGr8OFVIrVQpDOl87k8CW58idzvggycPxfU8h0/edit#gid=1298946326"",""Hoja 6!A:G""),4,FALSE)"),180)</f>
        <v>180</v>
      </c>
      <c r="G43" s="11"/>
    </row>
    <row r="44" spans="1:7" ht="164.25" customHeight="1" x14ac:dyDescent="0.2">
      <c r="A44" s="6">
        <v>10080312</v>
      </c>
      <c r="B44" s="7" t="s">
        <v>47</v>
      </c>
      <c r="C44" s="8"/>
      <c r="D44" s="13"/>
      <c r="E44" s="9">
        <f ca="1">IFERROR(__xludf.DUMMYFUNCTION("VLOOKUP(A44,IMPORTRANGE(""https://docs.google.com/spreadsheets/d/1A0CnpyGr8OFVIrVQpDOl87k8CW58idzvggycPxfU8h0/edit#gid=1298946326"",""Matriz Madre!B:J""),9,FALSE)"),99.9)</f>
        <v>99.9</v>
      </c>
      <c r="F44" s="10">
        <f ca="1">IFERROR(__xludf.DUMMYFUNCTION("VLOOKUP(A44,IMPORTRANGE(""https://docs.google.com/spreadsheets/d/1A0CnpyGr8OFVIrVQpDOl87k8CW58idzvggycPxfU8h0/edit#gid=1298946326"",""Hoja 6!A:G""),4,FALSE)"),150)</f>
        <v>150</v>
      </c>
      <c r="G44" s="11"/>
    </row>
    <row r="45" spans="1:7" ht="164.25" customHeight="1" x14ac:dyDescent="0.2">
      <c r="A45" s="6">
        <v>10080063</v>
      </c>
      <c r="B45" s="7" t="s">
        <v>48</v>
      </c>
      <c r="C45" s="8"/>
      <c r="D45" s="13"/>
      <c r="E45" s="9">
        <f ca="1">IFERROR(__xludf.DUMMYFUNCTION("VLOOKUP(A45,IMPORTRANGE(""https://docs.google.com/spreadsheets/d/1A0CnpyGr8OFVIrVQpDOl87k8CW58idzvggycPxfU8h0/edit#gid=1298946326"",""Matriz Madre!B:J""),9,FALSE)"),50)</f>
        <v>50</v>
      </c>
      <c r="F45" s="10">
        <f ca="1">IFERROR(__xludf.DUMMYFUNCTION("VLOOKUP(A45,IMPORTRANGE(""https://docs.google.com/spreadsheets/d/1A0CnpyGr8OFVIrVQpDOl87k8CW58idzvggycPxfU8h0/edit#gid=1298946326"",""Hoja 6!A:G""),4,FALSE)"),80)</f>
        <v>80</v>
      </c>
      <c r="G45" s="11"/>
    </row>
    <row r="46" spans="1:7" ht="164.25" customHeight="1" x14ac:dyDescent="0.2">
      <c r="A46" s="6">
        <v>10080064</v>
      </c>
      <c r="B46" s="7" t="s">
        <v>49</v>
      </c>
      <c r="C46" s="8"/>
      <c r="D46" s="13"/>
      <c r="E46" s="9">
        <f ca="1">IFERROR(__xludf.DUMMYFUNCTION("VLOOKUP(A46,IMPORTRANGE(""https://docs.google.com/spreadsheets/d/1A0CnpyGr8OFVIrVQpDOl87k8CW58idzvggycPxfU8h0/edit#gid=1298946326"",""Matriz Madre!B:J""),9,FALSE)"),79.9)</f>
        <v>79.900000000000006</v>
      </c>
      <c r="F46" s="10">
        <f ca="1">IFERROR(__xludf.DUMMYFUNCTION("VLOOKUP(A46,IMPORTRANGE(""https://docs.google.com/spreadsheets/d/1A0CnpyGr8OFVIrVQpDOl87k8CW58idzvggycPxfU8h0/edit#gid=1298946326"",""Hoja 6!A:G""),4,FALSE)"),130)</f>
        <v>130</v>
      </c>
      <c r="G46" s="11"/>
    </row>
    <row r="47" spans="1:7" ht="164.25" customHeight="1" x14ac:dyDescent="0.2">
      <c r="A47" s="6">
        <v>10080065</v>
      </c>
      <c r="B47" s="7" t="s">
        <v>50</v>
      </c>
      <c r="C47" s="8"/>
      <c r="D47" s="13"/>
      <c r="E47" s="9">
        <f ca="1">IFERROR(__xludf.DUMMYFUNCTION("VLOOKUP(A47,IMPORTRANGE(""https://docs.google.com/spreadsheets/d/1A0CnpyGr8OFVIrVQpDOl87k8CW58idzvggycPxfU8h0/edit#gid=1298946326"",""Matriz Madre!B:J""),9,FALSE)"),60)</f>
        <v>60</v>
      </c>
      <c r="F47" s="10">
        <f ca="1">IFERROR(__xludf.DUMMYFUNCTION("VLOOKUP(A47,IMPORTRANGE(""https://docs.google.com/spreadsheets/d/1A0CnpyGr8OFVIrVQpDOl87k8CW58idzvggycPxfU8h0/edit#gid=1298946326"",""Hoja 6!A:G""),4,FALSE)"),90)</f>
        <v>90</v>
      </c>
      <c r="G47" s="11"/>
    </row>
    <row r="48" spans="1:7" ht="164.25" customHeight="1" x14ac:dyDescent="0.2">
      <c r="A48" s="6">
        <v>10080050</v>
      </c>
      <c r="B48" s="7" t="s">
        <v>51</v>
      </c>
      <c r="C48" s="8"/>
      <c r="D48" s="13"/>
      <c r="E48" s="9">
        <f ca="1">IFERROR(__xludf.DUMMYFUNCTION("VLOOKUP(A48,IMPORTRANGE(""https://docs.google.com/spreadsheets/d/1A0CnpyGr8OFVIrVQpDOl87k8CW58idzvggycPxfU8h0/edit#gid=1298946326"",""Matriz Madre!B:J""),9,FALSE)"),100)</f>
        <v>100</v>
      </c>
      <c r="F48" s="10">
        <f ca="1">IFERROR(__xludf.DUMMYFUNCTION("VLOOKUP(A48,IMPORTRANGE(""https://docs.google.com/spreadsheets/d/1A0CnpyGr8OFVIrVQpDOl87k8CW58idzvggycPxfU8h0/edit#gid=1298946326"",""Hoja 6!A:G""),4,FALSE)"),150)</f>
        <v>150</v>
      </c>
      <c r="G48" s="11"/>
    </row>
    <row r="49" spans="1:7" ht="164.25" hidden="1" customHeight="1" x14ac:dyDescent="0.2">
      <c r="A49" s="6">
        <v>10080026</v>
      </c>
      <c r="B49" s="7" t="s">
        <v>52</v>
      </c>
      <c r="C49" s="83"/>
      <c r="D49" s="81"/>
      <c r="E49" s="9">
        <f ca="1">IFERROR(__xludf.DUMMYFUNCTION("VLOOKUP(A49,IMPORTRANGE(""https://docs.google.com/spreadsheets/d/1A0CnpyGr8OFVIrVQpDOl87k8CW58idzvggycPxfU8h0/edit#gid=1298946326"",""Matriz Madre!B:J""),9,FALSE)"),90)</f>
        <v>90</v>
      </c>
      <c r="F49" s="10">
        <f ca="1">IFERROR(__xludf.DUMMYFUNCTION("VLOOKUP(A49,IMPORTRANGE(""https://docs.google.com/spreadsheets/d/1A0CnpyGr8OFVIrVQpDOl87k8CW58idzvggycPxfU8h0/edit#gid=1298946326"",""Hoja 6!A:G""),4,FALSE)"),140)</f>
        <v>140</v>
      </c>
      <c r="G49" s="11"/>
    </row>
    <row r="50" spans="1:7" ht="164.25" customHeight="1" x14ac:dyDescent="0.2">
      <c r="A50" s="6">
        <v>10080066</v>
      </c>
      <c r="B50" s="7" t="s">
        <v>53</v>
      </c>
      <c r="C50" s="8"/>
      <c r="D50" s="13"/>
      <c r="E50" s="9">
        <f ca="1">IFERROR(__xludf.DUMMYFUNCTION("VLOOKUP(A50,IMPORTRANGE(""https://docs.google.com/spreadsheets/d/1A0CnpyGr8OFVIrVQpDOl87k8CW58idzvggycPxfU8h0/edit#gid=1298946326"",""Matriz Madre!B:J""),9,FALSE)"),60)</f>
        <v>60</v>
      </c>
      <c r="F50" s="10">
        <f ca="1">IFERROR(__xludf.DUMMYFUNCTION("VLOOKUP(A50,IMPORTRANGE(""https://docs.google.com/spreadsheets/d/1A0CnpyGr8OFVIrVQpDOl87k8CW58idzvggycPxfU8h0/edit#gid=1298946326"",""Hoja 6!A:G""),4,FALSE)"),110)</f>
        <v>110</v>
      </c>
      <c r="G50" s="11"/>
    </row>
    <row r="51" spans="1:7" ht="164.25" customHeight="1" x14ac:dyDescent="0.2">
      <c r="A51" s="6">
        <v>10080067</v>
      </c>
      <c r="B51" s="7" t="s">
        <v>54</v>
      </c>
      <c r="C51" s="8"/>
      <c r="D51" s="13"/>
      <c r="E51" s="9">
        <f ca="1">IFERROR(__xludf.DUMMYFUNCTION("VLOOKUP(A51,IMPORTRANGE(""https://docs.google.com/spreadsheets/d/1A0CnpyGr8OFVIrVQpDOl87k8CW58idzvggycPxfU8h0/edit#gid=1298946326"",""Matriz Madre!B:J""),9,FALSE)"),80)</f>
        <v>80</v>
      </c>
      <c r="F51" s="10">
        <f ca="1">IFERROR(__xludf.DUMMYFUNCTION("VLOOKUP(A51,IMPORTRANGE(""https://docs.google.com/spreadsheets/d/1A0CnpyGr8OFVIrVQpDOl87k8CW58idzvggycPxfU8h0/edit#gid=1298946326"",""Hoja 6!A:G""),4,FALSE)"),120)</f>
        <v>120</v>
      </c>
      <c r="G51" s="11"/>
    </row>
    <row r="52" spans="1:7" ht="164.25" customHeight="1" x14ac:dyDescent="0.2">
      <c r="A52" s="6">
        <v>10080009</v>
      </c>
      <c r="B52" s="7" t="s">
        <v>55</v>
      </c>
      <c r="C52" s="8"/>
      <c r="D52" s="13"/>
      <c r="E52" s="9">
        <f ca="1">IFERROR(__xludf.DUMMYFUNCTION("VLOOKUP(A52,IMPORTRANGE(""https://docs.google.com/spreadsheets/d/1A0CnpyGr8OFVIrVQpDOl87k8CW58idzvggycPxfU8h0/edit#gid=1298946326"",""Matriz Madre!B:J""),9,FALSE)"),30)</f>
        <v>30</v>
      </c>
      <c r="F52" s="10">
        <f ca="1">IFERROR(__xludf.DUMMYFUNCTION("VLOOKUP(A52,IMPORTRANGE(""https://docs.google.com/spreadsheets/d/1A0CnpyGr8OFVIrVQpDOl87k8CW58idzvggycPxfU8h0/edit#gid=1298946326"",""Hoja 6!A:G""),4,FALSE)"),60)</f>
        <v>60</v>
      </c>
      <c r="G52" s="11"/>
    </row>
    <row r="53" spans="1:7" ht="164.25" customHeight="1" x14ac:dyDescent="0.2">
      <c r="A53" s="6">
        <v>10080008</v>
      </c>
      <c r="B53" s="7" t="s">
        <v>56</v>
      </c>
      <c r="C53" s="8"/>
      <c r="D53" s="13"/>
      <c r="E53" s="9">
        <f ca="1">IFERROR(__xludf.DUMMYFUNCTION("VLOOKUP(A53,IMPORTRANGE(""https://docs.google.com/spreadsheets/d/1A0CnpyGr8OFVIrVQpDOl87k8CW58idzvggycPxfU8h0/edit#gid=1298946326"",""Matriz Madre!B:J""),9,FALSE)"),50)</f>
        <v>50</v>
      </c>
      <c r="F53" s="10">
        <f ca="1">IFERROR(__xludf.DUMMYFUNCTION("VLOOKUP(A53,IMPORTRANGE(""https://docs.google.com/spreadsheets/d/1A0CnpyGr8OFVIrVQpDOl87k8CW58idzvggycPxfU8h0/edit#gid=1298946326"",""Hoja 6!A:G""),4,FALSE)"),80)</f>
        <v>80</v>
      </c>
      <c r="G53" s="11"/>
    </row>
    <row r="54" spans="1:7" ht="164.25" customHeight="1" x14ac:dyDescent="0.2">
      <c r="A54" s="6">
        <v>10080010</v>
      </c>
      <c r="B54" s="7" t="s">
        <v>57</v>
      </c>
      <c r="C54" s="8"/>
      <c r="D54" s="13"/>
      <c r="E54" s="9">
        <f ca="1">IFERROR(__xludf.DUMMYFUNCTION("VLOOKUP(A54,IMPORTRANGE(""https://docs.google.com/spreadsheets/d/1A0CnpyGr8OFVIrVQpDOl87k8CW58idzvggycPxfU8h0/edit#gid=1298946326"",""Matriz Madre!B:J""),9,FALSE)"),10)</f>
        <v>10</v>
      </c>
      <c r="F54" s="10">
        <f ca="1">IFERROR(__xludf.DUMMYFUNCTION("VLOOKUP(A54,IMPORTRANGE(""https://docs.google.com/spreadsheets/d/1A0CnpyGr8OFVIrVQpDOl87k8CW58idzvggycPxfU8h0/edit#gid=1298946326"",""Hoja 6!A:G""),4,FALSE)"),50)</f>
        <v>50</v>
      </c>
      <c r="G54" s="11"/>
    </row>
    <row r="55" spans="1:7" ht="164.25" customHeight="1" x14ac:dyDescent="0.2">
      <c r="A55" s="6">
        <v>10080068</v>
      </c>
      <c r="B55" s="7" t="s">
        <v>58</v>
      </c>
      <c r="C55" s="8"/>
      <c r="D55" s="13"/>
      <c r="E55" s="9">
        <f ca="1">IFERROR(__xludf.DUMMYFUNCTION("VLOOKUP(A55,IMPORTRANGE(""https://docs.google.com/spreadsheets/d/1A0CnpyGr8OFVIrVQpDOl87k8CW58idzvggycPxfU8h0/edit#gid=1298946326"",""Matriz Madre!B:J""),9,FALSE)"),130)</f>
        <v>130</v>
      </c>
      <c r="F55" s="10">
        <f ca="1">IFERROR(__xludf.DUMMYFUNCTION("VLOOKUP(A55,IMPORTRANGE(""https://docs.google.com/spreadsheets/d/1A0CnpyGr8OFVIrVQpDOl87k8CW58idzvggycPxfU8h0/edit#gid=1298946326"",""Hoja 6!A:G""),4,FALSE)"),180)</f>
        <v>180</v>
      </c>
      <c r="G55" s="11"/>
    </row>
    <row r="56" spans="1:7" ht="164.25" customHeight="1" x14ac:dyDescent="0.2">
      <c r="A56" s="6">
        <v>10080069</v>
      </c>
      <c r="B56" s="7" t="s">
        <v>59</v>
      </c>
      <c r="C56" s="8"/>
      <c r="D56" s="13"/>
      <c r="E56" s="9">
        <f ca="1">IFERROR(__xludf.DUMMYFUNCTION("VLOOKUP(A56,IMPORTRANGE(""https://docs.google.com/spreadsheets/d/1A0CnpyGr8OFVIrVQpDOl87k8CW58idzvggycPxfU8h0/edit#gid=1298946326"",""Matriz Madre!B:J""),9,FALSE)"),50)</f>
        <v>50</v>
      </c>
      <c r="F56" s="10">
        <f ca="1">IFERROR(__xludf.DUMMYFUNCTION("VLOOKUP(A56,IMPORTRANGE(""https://docs.google.com/spreadsheets/d/1A0CnpyGr8OFVIrVQpDOl87k8CW58idzvggycPxfU8h0/edit#gid=1298946326"",""Hoja 6!A:G""),4,FALSE)"),100)</f>
        <v>100</v>
      </c>
      <c r="G56" s="11"/>
    </row>
    <row r="57" spans="1:7" ht="164.25" customHeight="1" x14ac:dyDescent="0.2">
      <c r="A57" s="6">
        <v>10080291</v>
      </c>
      <c r="B57" s="7" t="s">
        <v>60</v>
      </c>
      <c r="C57" s="8"/>
      <c r="D57" s="13"/>
      <c r="E57" s="9">
        <f ca="1">IFERROR(__xludf.DUMMYFUNCTION("VLOOKUP(A57,IMPORTRANGE(""https://docs.google.com/spreadsheets/d/1A0CnpyGr8OFVIrVQpDOl87k8CW58idzvggycPxfU8h0/edit#gid=1298946326"",""Matriz Madre!B:J""),9,FALSE)"),35)</f>
        <v>35</v>
      </c>
      <c r="F57" s="10">
        <f ca="1">IFERROR(__xludf.DUMMYFUNCTION("VLOOKUP(A57,IMPORTRANGE(""https://docs.google.com/spreadsheets/d/1A0CnpyGr8OFVIrVQpDOl87k8CW58idzvggycPxfU8h0/edit#gid=1298946326"",""Hoja 6!A:G""),4,FALSE)"),65)</f>
        <v>65</v>
      </c>
      <c r="G57" s="11"/>
    </row>
    <row r="58" spans="1:7" ht="164.25" hidden="1" customHeight="1" x14ac:dyDescent="0.2">
      <c r="A58" s="6">
        <v>10080019</v>
      </c>
      <c r="B58" s="7" t="s">
        <v>61</v>
      </c>
      <c r="C58" s="83"/>
      <c r="D58" s="81"/>
      <c r="E58" s="9">
        <f ca="1">IFERROR(__xludf.DUMMYFUNCTION("VLOOKUP(A58,IMPORTRANGE(""https://docs.google.com/spreadsheets/d/1A0CnpyGr8OFVIrVQpDOl87k8CW58idzvggycPxfU8h0/edit#gid=1298946326"",""Matriz Madre!B:J""),9,FALSE)"),60)</f>
        <v>60</v>
      </c>
      <c r="F58" s="10">
        <f ca="1">IFERROR(__xludf.DUMMYFUNCTION("VLOOKUP(A58,IMPORTRANGE(""https://docs.google.com/spreadsheets/d/1A0CnpyGr8OFVIrVQpDOl87k8CW58idzvggycPxfU8h0/edit#gid=1298946326"",""Hoja 6!A:G""),4,FALSE)"),80)</f>
        <v>80</v>
      </c>
      <c r="G58" s="11"/>
    </row>
    <row r="59" spans="1:7" ht="164.25" hidden="1" customHeight="1" x14ac:dyDescent="0.2">
      <c r="A59" s="6">
        <v>10030008</v>
      </c>
      <c r="B59" s="7" t="s">
        <v>62</v>
      </c>
      <c r="C59" s="83"/>
      <c r="D59" s="81"/>
      <c r="E59" s="9">
        <f ca="1">IFERROR(__xludf.DUMMYFUNCTION("VLOOKUP(A59,IMPORTRANGE(""https://docs.google.com/spreadsheets/d/1A0CnpyGr8OFVIrVQpDOl87k8CW58idzvggycPxfU8h0/edit#gid=1298946326"",""Matriz Madre!B:J""),9,FALSE)"),80)</f>
        <v>80</v>
      </c>
      <c r="F59" s="10">
        <f ca="1">IFERROR(__xludf.DUMMYFUNCTION("VLOOKUP(A59,IMPORTRANGE(""https://docs.google.com/spreadsheets/d/1A0CnpyGr8OFVIrVQpDOl87k8CW58idzvggycPxfU8h0/edit#gid=1298946326"",""Hoja 6!A:G""),4,FALSE)"),90)</f>
        <v>90</v>
      </c>
      <c r="G59" s="11"/>
    </row>
    <row r="60" spans="1:7" ht="164.25" hidden="1" customHeight="1" x14ac:dyDescent="0.2">
      <c r="A60" s="18">
        <v>10080017</v>
      </c>
      <c r="B60" s="19" t="s">
        <v>63</v>
      </c>
      <c r="C60" s="20"/>
      <c r="D60" s="21"/>
      <c r="E60" s="9">
        <f ca="1">IFERROR(__xludf.DUMMYFUNCTION("VLOOKUP(A60,IMPORTRANGE(""https://docs.google.com/spreadsheets/d/1A0CnpyGr8OFVIrVQpDOl87k8CW58idzvggycPxfU8h0/edit#gid=1298946326"",""Matriz Madre!B:J""),9,FALSE)"),50)</f>
        <v>50</v>
      </c>
      <c r="F60" s="10">
        <f ca="1">IFERROR(__xludf.DUMMYFUNCTION("VLOOKUP(A60,IMPORTRANGE(""https://docs.google.com/spreadsheets/d/1A0CnpyGr8OFVIrVQpDOl87k8CW58idzvggycPxfU8h0/edit#gid=1298946326"",""Hoja 6!A:G""),4,FALSE)"),90)</f>
        <v>90</v>
      </c>
      <c r="G60" s="22"/>
    </row>
    <row r="61" spans="1:7" ht="164.25" customHeight="1" x14ac:dyDescent="0.2">
      <c r="A61" s="6">
        <v>10120002</v>
      </c>
      <c r="B61" s="7" t="s">
        <v>64</v>
      </c>
      <c r="C61" s="83"/>
      <c r="D61" s="81"/>
      <c r="E61" s="9">
        <f ca="1">IFERROR(__xludf.DUMMYFUNCTION("VLOOKUP(A61,IMPORTRANGE(""https://docs.google.com/spreadsheets/d/1A0CnpyGr8OFVIrVQpDOl87k8CW58idzvggycPxfU8h0/edit#gid=1298946326"",""Matriz Madre!B:J""),9,FALSE)"),40)</f>
        <v>40</v>
      </c>
      <c r="F61" s="10">
        <f ca="1">IFERROR(__xludf.DUMMYFUNCTION("VLOOKUP(A61,IMPORTRANGE(""https://docs.google.com/spreadsheets/d/1A0CnpyGr8OFVIrVQpDOl87k8CW58idzvggycPxfU8h0/edit#gid=1298946326"",""Hoja 6!A:G""),4,FALSE)"),75)</f>
        <v>75</v>
      </c>
      <c r="G61" s="11"/>
    </row>
    <row r="62" spans="1:7" ht="164.25" hidden="1" customHeight="1" x14ac:dyDescent="0.2">
      <c r="A62" s="6">
        <v>10120003</v>
      </c>
      <c r="B62" s="7" t="s">
        <v>65</v>
      </c>
      <c r="C62" s="8"/>
      <c r="D62" s="13"/>
      <c r="E62" s="9">
        <f ca="1">IFERROR(__xludf.DUMMYFUNCTION("VLOOKUP(A62,IMPORTRANGE(""https://docs.google.com/spreadsheets/d/1A0CnpyGr8OFVIrVQpDOl87k8CW58idzvggycPxfU8h0/edit#gid=1298946326"",""Matriz Madre!B:J""),9,FALSE)"),40)</f>
        <v>40</v>
      </c>
      <c r="F62" s="10">
        <f ca="1">IFERROR(__xludf.DUMMYFUNCTION("VLOOKUP(A62,IMPORTRANGE(""https://docs.google.com/spreadsheets/d/1A0CnpyGr8OFVIrVQpDOl87k8CW58idzvggycPxfU8h0/edit#gid=1298946326"",""Hoja 6!A:G""),4,FALSE)"),70)</f>
        <v>70</v>
      </c>
      <c r="G62" s="11"/>
    </row>
    <row r="63" spans="1:7" ht="164.25" customHeight="1" x14ac:dyDescent="0.2">
      <c r="A63" s="6">
        <v>10030002</v>
      </c>
      <c r="B63" s="7" t="s">
        <v>66</v>
      </c>
      <c r="C63" s="8"/>
      <c r="D63" s="13"/>
      <c r="E63" s="9">
        <f ca="1">IFERROR(__xludf.DUMMYFUNCTION("VLOOKUP(A63,IMPORTRANGE(""https://docs.google.com/spreadsheets/d/1A0CnpyGr8OFVIrVQpDOl87k8CW58idzvggycPxfU8h0/edit#gid=1298946326"",""Matriz Madre!B:J""),9,FALSE)"),60)</f>
        <v>60</v>
      </c>
      <c r="F63" s="10">
        <f ca="1">IFERROR(__xludf.DUMMYFUNCTION("VLOOKUP(A63,IMPORTRANGE(""https://docs.google.com/spreadsheets/d/1A0CnpyGr8OFVIrVQpDOl87k8CW58idzvggycPxfU8h0/edit#gid=1298946326"",""Hoja 6!A:G""),4,FALSE)"),130)</f>
        <v>130</v>
      </c>
      <c r="G63" s="11"/>
    </row>
    <row r="64" spans="1:7" ht="164.25" customHeight="1" x14ac:dyDescent="0.2">
      <c r="A64" s="6">
        <v>10080016</v>
      </c>
      <c r="B64" s="7" t="s">
        <v>67</v>
      </c>
      <c r="C64" s="83"/>
      <c r="D64" s="81"/>
      <c r="E64" s="9">
        <f ca="1">IFERROR(__xludf.DUMMYFUNCTION("VLOOKUP(A64,IMPORTRANGE(""https://docs.google.com/spreadsheets/d/1A0CnpyGr8OFVIrVQpDOl87k8CW58idzvggycPxfU8h0/edit#gid=1298946326"",""Matriz Madre!B:J""),9,FALSE)"),50)</f>
        <v>50</v>
      </c>
      <c r="F64" s="10">
        <f ca="1">IFERROR(__xludf.DUMMYFUNCTION("VLOOKUP(A64,IMPORTRANGE(""https://docs.google.com/spreadsheets/d/1A0CnpyGr8OFVIrVQpDOl87k8CW58idzvggycPxfU8h0/edit#gid=1298946326"",""Hoja 6!A:G""),4,FALSE)"),80)</f>
        <v>80</v>
      </c>
      <c r="G64" s="11"/>
    </row>
    <row r="65" spans="1:7" ht="164.25" hidden="1" customHeight="1" x14ac:dyDescent="0.2">
      <c r="A65" s="6">
        <v>10080020</v>
      </c>
      <c r="B65" s="7" t="s">
        <v>68</v>
      </c>
      <c r="C65" s="8"/>
      <c r="D65" s="13"/>
      <c r="E65" s="9" t="str">
        <f ca="1">IFERROR(__xludf.DUMMYFUNCTION("VLOOKUP(A65,IMPORTRANGE(""https://docs.google.com/spreadsheets/d/1A0CnpyGr8OFVIrVQpDOl87k8CW58idzvggycPxfU8h0/edit#gid=1298946326"",""Matriz Madre!B:J""),9,FALSE)"),"")</f>
        <v/>
      </c>
      <c r="F65" s="10">
        <f ca="1">IFERROR(__xludf.DUMMYFUNCTION("VLOOKUP(A65,IMPORTRANGE(""https://docs.google.com/spreadsheets/d/1A0CnpyGr8OFVIrVQpDOl87k8CW58idzvggycPxfU8h0/edit#gid=1298946326"",""Hoja 6!A:G""),4,FALSE)"),100)</f>
        <v>100</v>
      </c>
      <c r="G65" s="11"/>
    </row>
    <row r="66" spans="1:7" ht="164.25" customHeight="1" x14ac:dyDescent="0.2">
      <c r="A66" s="6">
        <v>20130025</v>
      </c>
      <c r="B66" s="7" t="s">
        <v>69</v>
      </c>
      <c r="C66" s="8"/>
      <c r="D66" s="13"/>
      <c r="E66" s="9">
        <f ca="1">IFERROR(__xludf.DUMMYFUNCTION("VLOOKUP(A66,IMPORTRANGE(""https://docs.google.com/spreadsheets/d/1A0CnpyGr8OFVIrVQpDOl87k8CW58idzvggycPxfU8h0/edit#gid=1298946326"",""Matriz Madre!B:J""),9,FALSE)"),70)</f>
        <v>70</v>
      </c>
      <c r="F66" s="10">
        <f ca="1">IFERROR(__xludf.DUMMYFUNCTION("VLOOKUP(A66,IMPORTRANGE(""https://docs.google.com/spreadsheets/d/1A0CnpyGr8OFVIrVQpDOl87k8CW58idzvggycPxfU8h0/edit#gid=1298946326"",""Hoja 6!A:G""),4,FALSE)"),120)</f>
        <v>120</v>
      </c>
      <c r="G66" s="11"/>
    </row>
    <row r="67" spans="1:7" ht="164.25" customHeight="1" x14ac:dyDescent="0.2">
      <c r="A67" s="6">
        <v>20160001</v>
      </c>
      <c r="B67" s="7" t="s">
        <v>70</v>
      </c>
      <c r="C67" s="8"/>
      <c r="D67" s="13"/>
      <c r="E67" s="9">
        <f ca="1">IFERROR(__xludf.DUMMYFUNCTION("VLOOKUP(A67,IMPORTRANGE(""https://docs.google.com/spreadsheets/d/1A0CnpyGr8OFVIrVQpDOl87k8CW58idzvggycPxfU8h0/edit#gid=1298946326"",""Matriz Madre!B:J""),9,FALSE)"),30)</f>
        <v>30</v>
      </c>
      <c r="F67" s="10">
        <f ca="1">IFERROR(__xludf.DUMMYFUNCTION("VLOOKUP(A67,IMPORTRANGE(""https://docs.google.com/spreadsheets/d/1A0CnpyGr8OFVIrVQpDOl87k8CW58idzvggycPxfU8h0/edit#gid=1298946326"",""Hoja 6!A:G""),4,FALSE)"),80)</f>
        <v>80</v>
      </c>
      <c r="G67" s="11"/>
    </row>
    <row r="68" spans="1:7" ht="164.25" customHeight="1" x14ac:dyDescent="0.2">
      <c r="A68" s="6">
        <v>10080029</v>
      </c>
      <c r="B68" s="7" t="s">
        <v>71</v>
      </c>
      <c r="C68" s="83"/>
      <c r="D68" s="81"/>
      <c r="E68" s="9">
        <f ca="1">IFERROR(__xludf.DUMMYFUNCTION("VLOOKUP(A68,IMPORTRANGE(""https://docs.google.com/spreadsheets/d/1A0CnpyGr8OFVIrVQpDOl87k8CW58idzvggycPxfU8h0/edit#gid=1298946326"",""Matriz Madre!B:J""),9,FALSE)"),130)</f>
        <v>130</v>
      </c>
      <c r="F68" s="10">
        <f ca="1">IFERROR(__xludf.DUMMYFUNCTION("VLOOKUP(A68,IMPORTRANGE(""https://docs.google.com/spreadsheets/d/1A0CnpyGr8OFVIrVQpDOl87k8CW58idzvggycPxfU8h0/edit#gid=1298946326"",""Hoja 6!A:G""),4,FALSE)"),150)</f>
        <v>150</v>
      </c>
      <c r="G68" s="11"/>
    </row>
    <row r="69" spans="1:7" ht="164.25" hidden="1" customHeight="1" x14ac:dyDescent="0.2">
      <c r="A69" s="6">
        <v>10080021</v>
      </c>
      <c r="B69" s="7" t="s">
        <v>72</v>
      </c>
      <c r="C69" s="8"/>
      <c r="D69" s="13"/>
      <c r="E69" s="9" t="str">
        <f ca="1">IFERROR(__xludf.DUMMYFUNCTION("VLOOKUP(A69,IMPORTRANGE(""https://docs.google.com/spreadsheets/d/1A0CnpyGr8OFVIrVQpDOl87k8CW58idzvggycPxfU8h0/edit#gid=1298946326"",""Matriz Madre!B:J""),9,FALSE)"),"")</f>
        <v/>
      </c>
      <c r="F69" s="10">
        <f ca="1">IFERROR(__xludf.DUMMYFUNCTION("VLOOKUP(A69,IMPORTRANGE(""https://docs.google.com/spreadsheets/d/1A0CnpyGr8OFVIrVQpDOl87k8CW58idzvggycPxfU8h0/edit#gid=1298946326"",""Hoja 6!A:G""),4,FALSE)"),30)</f>
        <v>30</v>
      </c>
      <c r="G69" s="11"/>
    </row>
    <row r="70" spans="1:7" ht="164.25" hidden="1" customHeight="1" x14ac:dyDescent="0.2">
      <c r="A70" s="6">
        <v>10080022</v>
      </c>
      <c r="B70" s="7" t="s">
        <v>73</v>
      </c>
      <c r="C70" s="8"/>
      <c r="D70" s="13"/>
      <c r="E70" s="9" t="str">
        <f ca="1">IFERROR(__xludf.DUMMYFUNCTION("VLOOKUP(A70,IMPORTRANGE(""https://docs.google.com/spreadsheets/d/1A0CnpyGr8OFVIrVQpDOl87k8CW58idzvggycPxfU8h0/edit#gid=1298946326"",""Matriz Madre!B:J""),9,FALSE)"),"")</f>
        <v/>
      </c>
      <c r="F70" s="10">
        <f ca="1">IFERROR(__xludf.DUMMYFUNCTION("VLOOKUP(A70,IMPORTRANGE(""https://docs.google.com/spreadsheets/d/1A0CnpyGr8OFVIrVQpDOl87k8CW58idzvggycPxfU8h0/edit#gid=1298946326"",""Hoja 6!A:G""),4,FALSE)"),30)</f>
        <v>30</v>
      </c>
      <c r="G70" s="11"/>
    </row>
    <row r="71" spans="1:7" ht="164.25" customHeight="1" x14ac:dyDescent="0.2">
      <c r="A71" s="6">
        <v>10030007</v>
      </c>
      <c r="B71" s="7" t="s">
        <v>74</v>
      </c>
      <c r="C71" s="83"/>
      <c r="D71" s="81"/>
      <c r="E71" s="9">
        <f ca="1">IFERROR(__xludf.DUMMYFUNCTION("VLOOKUP(A71,IMPORTRANGE(""https://docs.google.com/spreadsheets/d/1A0CnpyGr8OFVIrVQpDOl87k8CW58idzvggycPxfU8h0/edit#gid=1298946326"",""Matriz Madre!B:J""),9,FALSE)"),20)</f>
        <v>20</v>
      </c>
      <c r="F71" s="10">
        <f ca="1">IFERROR(__xludf.DUMMYFUNCTION("VLOOKUP(A71,IMPORTRANGE(""https://docs.google.com/spreadsheets/d/1A0CnpyGr8OFVIrVQpDOl87k8CW58idzvggycPxfU8h0/edit#gid=1298946326"",""Hoja 6!A:G""),4,FALSE)"),40)</f>
        <v>40</v>
      </c>
      <c r="G71" s="11"/>
    </row>
    <row r="72" spans="1:7" ht="164.25" customHeight="1" x14ac:dyDescent="0.2">
      <c r="A72" s="6">
        <v>10080028</v>
      </c>
      <c r="B72" s="7" t="s">
        <v>75</v>
      </c>
      <c r="C72" s="83"/>
      <c r="D72" s="81"/>
      <c r="E72" s="9">
        <f ca="1">IFERROR(__xludf.DUMMYFUNCTION("VLOOKUP(A72,IMPORTRANGE(""https://docs.google.com/spreadsheets/d/1A0CnpyGr8OFVIrVQpDOl87k8CW58idzvggycPxfU8h0/edit#gid=1298946326"",""Matriz Madre!B:J""),9,FALSE)"),20)</f>
        <v>20</v>
      </c>
      <c r="F72" s="10">
        <f ca="1">IFERROR(__xludf.DUMMYFUNCTION("VLOOKUP(A72,IMPORTRANGE(""https://docs.google.com/spreadsheets/d/1A0CnpyGr8OFVIrVQpDOl87k8CW58idzvggycPxfU8h0/edit#gid=1298946326"",""Hoja 6!A:G""),4,FALSE)"),50)</f>
        <v>50</v>
      </c>
      <c r="G72" s="11"/>
    </row>
    <row r="73" spans="1:7" ht="164.25" customHeight="1" x14ac:dyDescent="0.2">
      <c r="A73" s="6">
        <v>10050003</v>
      </c>
      <c r="B73" s="7" t="s">
        <v>76</v>
      </c>
      <c r="C73" s="83"/>
      <c r="D73" s="81"/>
      <c r="E73" s="9">
        <f ca="1">IFERROR(__xludf.DUMMYFUNCTION("VLOOKUP(A73,IMPORTRANGE(""https://docs.google.com/spreadsheets/d/1A0CnpyGr8OFVIrVQpDOl87k8CW58idzvggycPxfU8h0/edit#gid=1298946326"",""Matriz Madre!B:J""),9,FALSE)"),20)</f>
        <v>20</v>
      </c>
      <c r="F73" s="10">
        <f ca="1">IFERROR(__xludf.DUMMYFUNCTION("VLOOKUP(A73,IMPORTRANGE(""https://docs.google.com/spreadsheets/d/1A0CnpyGr8OFVIrVQpDOl87k8CW58idzvggycPxfU8h0/edit#gid=1298946326"",""Hoja 6!A:G""),4,FALSE)"),45)</f>
        <v>45</v>
      </c>
      <c r="G73" s="11"/>
    </row>
    <row r="74" spans="1:7" ht="164.25" hidden="1" customHeight="1" x14ac:dyDescent="0.2">
      <c r="A74" s="6">
        <v>20010001</v>
      </c>
      <c r="B74" s="7" t="s">
        <v>77</v>
      </c>
      <c r="C74" s="8"/>
      <c r="D74" s="13"/>
      <c r="E74" s="9">
        <f ca="1">IFERROR(__xludf.DUMMYFUNCTION("VLOOKUP(A74,IMPORTRANGE(""https://docs.google.com/spreadsheets/d/1A0CnpyGr8OFVIrVQpDOl87k8CW58idzvggycPxfU8h0/edit#gid=1298946326"",""Matriz Madre!B:J""),9,FALSE)"),80)</f>
        <v>80</v>
      </c>
      <c r="F74" s="10">
        <f ca="1">IFERROR(__xludf.DUMMYFUNCTION("VLOOKUP(A74,IMPORTRANGE(""https://docs.google.com/spreadsheets/d/1A0CnpyGr8OFVIrVQpDOl87k8CW58idzvggycPxfU8h0/edit#gid=1298946326"",""Hoja 6!A:G""),4,FALSE)"),100)</f>
        <v>100</v>
      </c>
      <c r="G74" s="11"/>
    </row>
    <row r="75" spans="1:7" ht="164.25" customHeight="1" x14ac:dyDescent="0.2">
      <c r="A75" s="6">
        <v>10080311</v>
      </c>
      <c r="B75" s="7" t="s">
        <v>78</v>
      </c>
      <c r="C75" s="8"/>
      <c r="D75" s="13"/>
      <c r="E75" s="9">
        <f ca="1">IFERROR(__xludf.DUMMYFUNCTION("VLOOKUP(A75,IMPORTRANGE(""https://docs.google.com/spreadsheets/d/1A0CnpyGr8OFVIrVQpDOl87k8CW58idzvggycPxfU8h0/edit#gid=1298946326"",""Matriz Madre!B:J""),9,FALSE)"),59.9)</f>
        <v>59.9</v>
      </c>
      <c r="F75" s="10">
        <f ca="1">IFERROR(__xludf.DUMMYFUNCTION("VLOOKUP(A75,IMPORTRANGE(""https://docs.google.com/spreadsheets/d/1A0CnpyGr8OFVIrVQpDOl87k8CW58idzvggycPxfU8h0/edit#gid=1298946326"",""Hoja 6!A:G""),4,FALSE)"),120)</f>
        <v>120</v>
      </c>
      <c r="G75" s="11"/>
    </row>
    <row r="76" spans="1:7" ht="164.25" customHeight="1" x14ac:dyDescent="0.2">
      <c r="A76" s="6">
        <v>10080012</v>
      </c>
      <c r="B76" s="7" t="s">
        <v>79</v>
      </c>
      <c r="C76" s="23" t="s">
        <v>80</v>
      </c>
      <c r="D76" s="13"/>
      <c r="E76" s="9" t="str">
        <f ca="1">IFERROR(__xludf.DUMMYFUNCTION("VLOOKUP(A76,IMPORTRANGE(""https://docs.google.com/spreadsheets/d/1A0CnpyGr8OFVIrVQpDOl87k8CW58idzvggycPxfU8h0/edit#gid=1298946326"",""Matriz Madre!B:J""),9,FALSE)"),"")</f>
        <v/>
      </c>
      <c r="F76" s="10">
        <f ca="1">IFERROR(__xludf.DUMMYFUNCTION("VLOOKUP(A76,IMPORTRANGE(""https://docs.google.com/spreadsheets/d/1A0CnpyGr8OFVIrVQpDOl87k8CW58idzvggycPxfU8h0/edit#gid=1298946326"",""Hoja 6!A:G""),4,FALSE)"),490)</f>
        <v>490</v>
      </c>
      <c r="G76" s="11"/>
    </row>
    <row r="77" spans="1:7" ht="164.25" customHeight="1" x14ac:dyDescent="0.2">
      <c r="A77" s="6">
        <v>10080034</v>
      </c>
      <c r="B77" s="7" t="s">
        <v>81</v>
      </c>
      <c r="C77" s="8"/>
      <c r="D77" s="13"/>
      <c r="E77" s="9">
        <f ca="1">IFERROR(__xludf.DUMMYFUNCTION("VLOOKUP(A77,IMPORTRANGE(""https://docs.google.com/spreadsheets/d/1A0CnpyGr8OFVIrVQpDOl87k8CW58idzvggycPxfU8h0/edit#gid=1298946326"",""Matriz Madre!B:J""),9,FALSE)"),10)</f>
        <v>10</v>
      </c>
      <c r="F77" s="10">
        <f ca="1">IFERROR(__xludf.DUMMYFUNCTION("VLOOKUP(A77,IMPORTRANGE(""https://docs.google.com/spreadsheets/d/1A0CnpyGr8OFVIrVQpDOl87k8CW58idzvggycPxfU8h0/edit#gid=1298946326"",""Hoja 6!A:G""),4,FALSE)"),40)</f>
        <v>40</v>
      </c>
      <c r="G77" s="11"/>
    </row>
    <row r="78" spans="1:7" ht="164.25" customHeight="1" x14ac:dyDescent="0.2">
      <c r="A78" s="6">
        <v>10080013</v>
      </c>
      <c r="B78" s="7" t="s">
        <v>82</v>
      </c>
      <c r="C78" s="23" t="s">
        <v>83</v>
      </c>
      <c r="D78" s="13"/>
      <c r="E78" s="9">
        <f ca="1">IFERROR(__xludf.DUMMYFUNCTION("VLOOKUP(A78,IMPORTRANGE(""https://docs.google.com/spreadsheets/d/1A0CnpyGr8OFVIrVQpDOl87k8CW58idzvggycPxfU8h0/edit#gid=1298946326"",""Matriz Madre!B:J""),9,FALSE)"),680)</f>
        <v>680</v>
      </c>
      <c r="F78" s="10">
        <f ca="1">IFERROR(__xludf.DUMMYFUNCTION("VLOOKUP(A78,IMPORTRANGE(""https://docs.google.com/spreadsheets/d/1A0CnpyGr8OFVIrVQpDOl87k8CW58idzvggycPxfU8h0/edit#gid=1298946326"",""Hoja 6!A:G""),4,FALSE)"),680)</f>
        <v>680</v>
      </c>
      <c r="G78" s="11"/>
    </row>
    <row r="79" spans="1:7" ht="164.25" customHeight="1" x14ac:dyDescent="0.2">
      <c r="A79" s="6">
        <v>20140054</v>
      </c>
      <c r="B79" s="7" t="s">
        <v>84</v>
      </c>
      <c r="C79" s="24" t="s">
        <v>85</v>
      </c>
      <c r="D79" s="13"/>
      <c r="E79" s="9">
        <f ca="1">IFERROR(__xludf.DUMMYFUNCTION("VLOOKUP(A79,IMPORTRANGE(""https://docs.google.com/spreadsheets/d/1A0CnpyGr8OFVIrVQpDOl87k8CW58idzvggycPxfU8h0/edit#gid=1298946326"",""Matriz Madre!B:J""),9,FALSE)"),470)</f>
        <v>470</v>
      </c>
      <c r="F79" s="10">
        <f ca="1">IFERROR(__xludf.DUMMYFUNCTION("VLOOKUP(A79,IMPORTRANGE(""https://docs.google.com/spreadsheets/d/1A0CnpyGr8OFVIrVQpDOl87k8CW58idzvggycPxfU8h0/edit#gid=1298946326"",""Hoja 6!A:G""),4,FALSE)"),460)</f>
        <v>460</v>
      </c>
      <c r="G79" s="11"/>
    </row>
    <row r="80" spans="1:7" ht="164.25" customHeight="1" x14ac:dyDescent="0.2">
      <c r="A80" s="6">
        <v>20130007</v>
      </c>
      <c r="B80" s="7" t="s">
        <v>86</v>
      </c>
      <c r="C80" s="8"/>
      <c r="D80" s="13"/>
      <c r="E80" s="9">
        <f ca="1">IFERROR(__xludf.DUMMYFUNCTION("VLOOKUP(A80,IMPORTRANGE(""https://docs.google.com/spreadsheets/d/1A0CnpyGr8OFVIrVQpDOl87k8CW58idzvggycPxfU8h0/edit#gid=1298946326"",""Matriz Madre!B:J""),9,FALSE)"),40)</f>
        <v>40</v>
      </c>
      <c r="F80" s="10">
        <f ca="1">IFERROR(__xludf.DUMMYFUNCTION("VLOOKUP(A80,IMPORTRANGE(""https://docs.google.com/spreadsheets/d/1A0CnpyGr8OFVIrVQpDOl87k8CW58idzvggycPxfU8h0/edit#gid=1298946326"",""Hoja 6!A:G""),4,FALSE)"),60)</f>
        <v>60</v>
      </c>
      <c r="G80" s="11"/>
    </row>
    <row r="81" spans="1:7" ht="164.25" hidden="1" customHeight="1" x14ac:dyDescent="0.2">
      <c r="A81" s="25">
        <v>10160009</v>
      </c>
      <c r="B81" s="26" t="s">
        <v>87</v>
      </c>
      <c r="C81" s="27"/>
      <c r="D81" s="28"/>
      <c r="E81" s="29">
        <f ca="1">IFERROR(__xludf.DUMMYFUNCTION("VLOOKUP(A81,IMPORTRANGE(""https://docs.google.com/spreadsheets/d/1A0CnpyGr8OFVIrVQpDOl87k8CW58idzvggycPxfU8h0/edit#gid=1298946326"",""Matriz Madre!B:J""),9,FALSE)"),170)</f>
        <v>170</v>
      </c>
      <c r="F81" s="30">
        <f ca="1">IFERROR(__xludf.DUMMYFUNCTION("VLOOKUP(A81,IMPORTRANGE(""https://docs.google.com/spreadsheets/d/1A0CnpyGr8OFVIrVQpDOl87k8CW58idzvggycPxfU8h0/edit#gid=1298946326"",""Hoja 6!A:G""),4,FALSE)"),140)</f>
        <v>140</v>
      </c>
      <c r="G81" s="31"/>
    </row>
    <row r="82" spans="1:7" ht="164.25" customHeight="1" x14ac:dyDescent="0.2">
      <c r="A82" s="6">
        <v>10080041</v>
      </c>
      <c r="B82" s="7" t="s">
        <v>88</v>
      </c>
      <c r="C82" s="32" t="s">
        <v>89</v>
      </c>
      <c r="D82" s="13"/>
      <c r="E82" s="9">
        <f ca="1">IFERROR(__xludf.DUMMYFUNCTION("VLOOKUP(A82,IMPORTRANGE(""https://docs.google.com/spreadsheets/d/1A0CnpyGr8OFVIrVQpDOl87k8CW58idzvggycPxfU8h0/edit#gid=1298946326"",""Matriz Madre!B:J""),9,FALSE)"),140)</f>
        <v>140</v>
      </c>
      <c r="F82" s="10">
        <f ca="1">IFERROR(__xludf.DUMMYFUNCTION("VLOOKUP(A82,IMPORTRANGE(""https://docs.google.com/spreadsheets/d/1A0CnpyGr8OFVIrVQpDOl87k8CW58idzvggycPxfU8h0/edit#gid=1298946326"",""Hoja 6!A:G""),4,FALSE)"),190)</f>
        <v>190</v>
      </c>
      <c r="G82" s="11"/>
    </row>
    <row r="83" spans="1:7" ht="164.25" customHeight="1" x14ac:dyDescent="0.2">
      <c r="A83" s="6">
        <v>10050004</v>
      </c>
      <c r="B83" s="7" t="s">
        <v>90</v>
      </c>
      <c r="C83" s="83"/>
      <c r="D83" s="81"/>
      <c r="E83" s="9">
        <f ca="1">IFERROR(__xludf.DUMMYFUNCTION("VLOOKUP(A83,IMPORTRANGE(""https://docs.google.com/spreadsheets/d/1A0CnpyGr8OFVIrVQpDOl87k8CW58idzvggycPxfU8h0/edit#gid=1298946326"",""Matriz Madre!B:J""),9,FALSE)"),15)</f>
        <v>15</v>
      </c>
      <c r="F83" s="10">
        <f ca="1">IFERROR(__xludf.DUMMYFUNCTION("VLOOKUP(A83,IMPORTRANGE(""https://docs.google.com/spreadsheets/d/1A0CnpyGr8OFVIrVQpDOl87k8CW58idzvggycPxfU8h0/edit#gid=1298946326"",""Hoja 6!A:G""),4,FALSE)"),35)</f>
        <v>35</v>
      </c>
      <c r="G83" s="11"/>
    </row>
    <row r="84" spans="1:7" ht="164.25" hidden="1" customHeight="1" x14ac:dyDescent="0.2">
      <c r="A84" s="6">
        <v>10080048</v>
      </c>
      <c r="B84" s="7" t="s">
        <v>91</v>
      </c>
      <c r="C84" s="8"/>
      <c r="D84" s="13"/>
      <c r="E84" s="9">
        <f ca="1">IFERROR(__xludf.DUMMYFUNCTION("VLOOKUP(A84,IMPORTRANGE(""https://docs.google.com/spreadsheets/d/1A0CnpyGr8OFVIrVQpDOl87k8CW58idzvggycPxfU8h0/edit#gid=1298946326"",""Matriz Madre!B:J""),9,FALSE)"),40)</f>
        <v>40</v>
      </c>
      <c r="F84" s="10">
        <f ca="1">IFERROR(__xludf.DUMMYFUNCTION("VLOOKUP(A84,IMPORTRANGE(""https://docs.google.com/spreadsheets/d/1A0CnpyGr8OFVIrVQpDOl87k8CW58idzvggycPxfU8h0/edit#gid=1298946326"",""Hoja 6!A:G""),4,FALSE)"),90)</f>
        <v>90</v>
      </c>
      <c r="G84" s="11"/>
    </row>
    <row r="85" spans="1:7" ht="164.25" hidden="1" customHeight="1" x14ac:dyDescent="0.2">
      <c r="A85" s="6">
        <v>10080046</v>
      </c>
      <c r="B85" s="7" t="s">
        <v>92</v>
      </c>
      <c r="C85" s="83"/>
      <c r="D85" s="81"/>
      <c r="E85" s="9">
        <f ca="1">IFERROR(__xludf.DUMMYFUNCTION("VLOOKUP(A85,IMPORTRANGE(""https://docs.google.com/spreadsheets/d/1A0CnpyGr8OFVIrVQpDOl87k8CW58idzvggycPxfU8h0/edit#gid=1298946326"",""Matriz Madre!B:J""),9,FALSE)"),10)</f>
        <v>10</v>
      </c>
      <c r="F85" s="10">
        <f ca="1">IFERROR(__xludf.DUMMYFUNCTION("VLOOKUP(A85,IMPORTRANGE(""https://docs.google.com/spreadsheets/d/1A0CnpyGr8OFVIrVQpDOl87k8CW58idzvggycPxfU8h0/edit#gid=1298946326"",""Hoja 6!A:G""),4,FALSE)"),60)</f>
        <v>60</v>
      </c>
      <c r="G85" s="11"/>
    </row>
    <row r="86" spans="1:7" ht="164.25" hidden="1" customHeight="1" x14ac:dyDescent="0.2">
      <c r="A86" s="6">
        <v>10080024</v>
      </c>
      <c r="B86" s="7" t="s">
        <v>93</v>
      </c>
      <c r="C86" s="83"/>
      <c r="D86" s="81"/>
      <c r="E86" s="9" t="str">
        <f ca="1">IFERROR(__xludf.DUMMYFUNCTION("VLOOKUP(A86,IMPORTRANGE(""https://docs.google.com/spreadsheets/d/1A0CnpyGr8OFVIrVQpDOl87k8CW58idzvggycPxfU8h0/edit#gid=1298946326"",""Matriz Madre!B:J""),9,FALSE)"),"")</f>
        <v/>
      </c>
      <c r="F86" s="10">
        <f ca="1">IFERROR(__xludf.DUMMYFUNCTION("VLOOKUP(A86,IMPORTRANGE(""https://docs.google.com/spreadsheets/d/1A0CnpyGr8OFVIrVQpDOl87k8CW58idzvggycPxfU8h0/edit#gid=1298946326"",""Hoja 6!A:G""),4,FALSE)"),130)</f>
        <v>130</v>
      </c>
      <c r="G86" s="11"/>
    </row>
    <row r="87" spans="1:7" ht="164.25" customHeight="1" x14ac:dyDescent="0.2">
      <c r="A87" s="6">
        <v>20130026</v>
      </c>
      <c r="B87" s="7" t="s">
        <v>94</v>
      </c>
      <c r="C87" s="8"/>
      <c r="D87" s="13"/>
      <c r="E87" s="9">
        <f ca="1">IFERROR(__xludf.DUMMYFUNCTION("VLOOKUP(A87,IMPORTRANGE(""https://docs.google.com/spreadsheets/d/1A0CnpyGr8OFVIrVQpDOl87k8CW58idzvggycPxfU8h0/edit#gid=1298946326"",""Matriz Madre!B:J""),9,FALSE)"),30)</f>
        <v>30</v>
      </c>
      <c r="F87" s="10">
        <f ca="1">IFERROR(__xludf.DUMMYFUNCTION("VLOOKUP(A87,IMPORTRANGE(""https://docs.google.com/spreadsheets/d/1A0CnpyGr8OFVIrVQpDOl87k8CW58idzvggycPxfU8h0/edit#gid=1298946326"",""Hoja 6!A:G""),4,FALSE)"),70)</f>
        <v>70</v>
      </c>
      <c r="G87" s="11"/>
    </row>
    <row r="88" spans="1:7" ht="164.25" customHeight="1" x14ac:dyDescent="0.2">
      <c r="A88" s="6">
        <v>20130027</v>
      </c>
      <c r="B88" s="7" t="s">
        <v>95</v>
      </c>
      <c r="C88" s="83"/>
      <c r="D88" s="81"/>
      <c r="E88" s="9">
        <f ca="1">IFERROR(__xludf.DUMMYFUNCTION("VLOOKUP(A88,IMPORTRANGE(""https://docs.google.com/spreadsheets/d/1A0CnpyGr8OFVIrVQpDOl87k8CW58idzvggycPxfU8h0/edit#gid=1298946326"",""Matriz Madre!B:J""),9,FALSE)"),30)</f>
        <v>30</v>
      </c>
      <c r="F88" s="10">
        <f ca="1">IFERROR(__xludf.DUMMYFUNCTION("VLOOKUP(A88,IMPORTRANGE(""https://docs.google.com/spreadsheets/d/1A0CnpyGr8OFVIrVQpDOl87k8CW58idzvggycPxfU8h0/edit#gid=1298946326"",""Hoja 6!A:G""),4,FALSE)"),90)</f>
        <v>90</v>
      </c>
      <c r="G88" s="11"/>
    </row>
    <row r="89" spans="1:7" ht="164.25" hidden="1" customHeight="1" x14ac:dyDescent="0.2">
      <c r="A89" s="6">
        <v>20200006</v>
      </c>
      <c r="B89" s="7" t="s">
        <v>96</v>
      </c>
      <c r="C89" s="8"/>
      <c r="D89" s="13"/>
      <c r="E89" s="9">
        <f ca="1">IFERROR(__xludf.DUMMYFUNCTION("VLOOKUP(A89,IMPORTRANGE(""https://docs.google.com/spreadsheets/d/1A0CnpyGr8OFVIrVQpDOl87k8CW58idzvggycPxfU8h0/edit#gid=1298946326"",""Matriz Madre!B:J""),9,FALSE)"),30)</f>
        <v>30</v>
      </c>
      <c r="F89" s="10">
        <f ca="1">IFERROR(__xludf.DUMMYFUNCTION("VLOOKUP(A89,IMPORTRANGE(""https://docs.google.com/spreadsheets/d/1A0CnpyGr8OFVIrVQpDOl87k8CW58idzvggycPxfU8h0/edit#gid=1298946326"",""Hoja 6!A:G""),4,FALSE)"),45)</f>
        <v>45</v>
      </c>
      <c r="G89" s="11"/>
    </row>
    <row r="90" spans="1:7" ht="164.25" customHeight="1" x14ac:dyDescent="0.2">
      <c r="A90" s="6">
        <v>10050005</v>
      </c>
      <c r="B90" s="7" t="s">
        <v>97</v>
      </c>
      <c r="C90" s="8"/>
      <c r="D90" s="13"/>
      <c r="E90" s="9">
        <f ca="1">IFERROR(__xludf.DUMMYFUNCTION("VLOOKUP(A90,IMPORTRANGE(""https://docs.google.com/spreadsheets/d/1A0CnpyGr8OFVIrVQpDOl87k8CW58idzvggycPxfU8h0/edit#gid=1298946326"",""Matriz Madre!B:J""),9,FALSE)"),30)</f>
        <v>30</v>
      </c>
      <c r="F90" s="10">
        <f ca="1">IFERROR(__xludf.DUMMYFUNCTION("VLOOKUP(A90,IMPORTRANGE(""https://docs.google.com/spreadsheets/d/1A0CnpyGr8OFVIrVQpDOl87k8CW58idzvggycPxfU8h0/edit#gid=1298946326"",""Hoja 6!A:G""),4,FALSE)"),50)</f>
        <v>50</v>
      </c>
      <c r="G90" s="11"/>
    </row>
    <row r="91" spans="1:7" ht="164.25" hidden="1" customHeight="1" x14ac:dyDescent="0.2">
      <c r="A91" s="6">
        <v>10030004</v>
      </c>
      <c r="B91" s="7" t="s">
        <v>98</v>
      </c>
      <c r="C91" s="8"/>
      <c r="D91" s="13"/>
      <c r="E91" s="9" t="str">
        <f ca="1">IFERROR(__xludf.DUMMYFUNCTION("VLOOKUP(A91,IMPORTRANGE(""https://docs.google.com/spreadsheets/d/1A0CnpyGr8OFVIrVQpDOl87k8CW58idzvggycPxfU8h0/edit#gid=1298946326"",""Matriz Madre!B:J""),9,FALSE)"),"")</f>
        <v/>
      </c>
      <c r="F91" s="10">
        <f ca="1">IFERROR(__xludf.DUMMYFUNCTION("VLOOKUP(A91,IMPORTRANGE(""https://docs.google.com/spreadsheets/d/1A0CnpyGr8OFVIrVQpDOl87k8CW58idzvggycPxfU8h0/edit#gid=1298946326"",""Hoja 6!A:G""),4,FALSE)"),200)</f>
        <v>200</v>
      </c>
      <c r="G91" s="11"/>
    </row>
    <row r="92" spans="1:7" ht="164.25" hidden="1" customHeight="1" x14ac:dyDescent="0.2">
      <c r="A92" s="6">
        <v>10080047</v>
      </c>
      <c r="B92" s="7" t="s">
        <v>99</v>
      </c>
      <c r="C92" s="8"/>
      <c r="D92" s="13"/>
      <c r="E92" s="9" t="str">
        <f ca="1">IFERROR(__xludf.DUMMYFUNCTION("VLOOKUP(A92,IMPORTRANGE(""https://docs.google.com/spreadsheets/d/1A0CnpyGr8OFVIrVQpDOl87k8CW58idzvggycPxfU8h0/edit#gid=1298946326"",""Matriz Madre!B:J""),9,FALSE)"),"")</f>
        <v/>
      </c>
      <c r="F92" s="10">
        <f ca="1">IFERROR(__xludf.DUMMYFUNCTION("VLOOKUP(A92,IMPORTRANGE(""https://docs.google.com/spreadsheets/d/1A0CnpyGr8OFVIrVQpDOl87k8CW58idzvggycPxfU8h0/edit#gid=1298946326"",""Hoja 6!A:G""),4,FALSE)"),20)</f>
        <v>20</v>
      </c>
      <c r="G92" s="11"/>
    </row>
    <row r="93" spans="1:7" ht="164.25" customHeight="1" x14ac:dyDescent="0.2">
      <c r="A93" s="18">
        <v>10160054</v>
      </c>
      <c r="B93" s="19" t="s">
        <v>100</v>
      </c>
      <c r="C93" s="20"/>
      <c r="D93" s="21"/>
      <c r="E93" s="9">
        <f ca="1">IFERROR(__xludf.DUMMYFUNCTION("VLOOKUP(A93,IMPORTRANGE(""https://docs.google.com/spreadsheets/d/1A0CnpyGr8OFVIrVQpDOl87k8CW58idzvggycPxfU8h0/edit#gid=1298946326"",""Matriz Madre!B:J""),9,FALSE)"),50)</f>
        <v>50</v>
      </c>
      <c r="F93" s="10">
        <f ca="1">IFERROR(__xludf.DUMMYFUNCTION("VLOOKUP(A93,IMPORTRANGE(""https://docs.google.com/spreadsheets/d/1A0CnpyGr8OFVIrVQpDOl87k8CW58idzvggycPxfU8h0/edit#gid=1298946326"",""Hoja 6!A:G""),4,FALSE)"),100)</f>
        <v>100</v>
      </c>
      <c r="G93" s="22"/>
    </row>
    <row r="94" spans="1:7" ht="164.25" customHeight="1" x14ac:dyDescent="0.2">
      <c r="A94" s="18">
        <v>10080045</v>
      </c>
      <c r="B94" s="19" t="s">
        <v>101</v>
      </c>
      <c r="C94" s="20"/>
      <c r="D94" s="21"/>
      <c r="E94" s="9">
        <f ca="1">IFERROR(__xludf.DUMMYFUNCTION("VLOOKUP(A94,IMPORTRANGE(""https://docs.google.com/spreadsheets/d/1A0CnpyGr8OFVIrVQpDOl87k8CW58idzvggycPxfU8h0/edit#gid=1298946326"",""Matriz Madre!B:J""),9,FALSE)"),50)</f>
        <v>50</v>
      </c>
      <c r="F94" s="10">
        <f ca="1">IFERROR(__xludf.DUMMYFUNCTION("VLOOKUP(A94,IMPORTRANGE(""https://docs.google.com/spreadsheets/d/1A0CnpyGr8OFVIrVQpDOl87k8CW58idzvggycPxfU8h0/edit#gid=1298946326"",""Hoja 6!A:G""),4,FALSE)"),100)</f>
        <v>100</v>
      </c>
      <c r="G94" s="22"/>
    </row>
    <row r="95" spans="1:7" ht="164.25" customHeight="1" x14ac:dyDescent="0.2">
      <c r="A95" s="6">
        <v>10110023</v>
      </c>
      <c r="B95" s="7" t="s">
        <v>102</v>
      </c>
      <c r="C95" s="8"/>
      <c r="D95" s="13"/>
      <c r="E95" s="9">
        <f ca="1">IFERROR(__xludf.DUMMYFUNCTION("VLOOKUP(A95,IMPORTRANGE(""https://docs.google.com/spreadsheets/d/1A0CnpyGr8OFVIrVQpDOl87k8CW58idzvggycPxfU8h0/edit#gid=1298946326"",""Matriz Madre!B:J""),9,FALSE)"),50)</f>
        <v>50</v>
      </c>
      <c r="F95" s="10">
        <f ca="1">IFERROR(__xludf.DUMMYFUNCTION("VLOOKUP(A95,IMPORTRANGE(""https://docs.google.com/spreadsheets/d/1A0CnpyGr8OFVIrVQpDOl87k8CW58idzvggycPxfU8h0/edit#gid=1298946326"",""Hoja 6!A:G""),4,FALSE)"),100)</f>
        <v>100</v>
      </c>
      <c r="G95" s="11"/>
    </row>
    <row r="96" spans="1:7" ht="164.25" customHeight="1" x14ac:dyDescent="0.2">
      <c r="A96" s="6">
        <v>20100002</v>
      </c>
      <c r="B96" s="7" t="s">
        <v>103</v>
      </c>
      <c r="C96" s="33"/>
      <c r="D96" s="13"/>
      <c r="E96" s="9">
        <f ca="1">IFERROR(__xludf.DUMMYFUNCTION("VLOOKUP(A96,IMPORTRANGE(""https://docs.google.com/spreadsheets/d/1A0CnpyGr8OFVIrVQpDOl87k8CW58idzvggycPxfU8h0/edit#gid=1298946326"",""Matriz Madre!B:J""),9,FALSE)"),50)</f>
        <v>50</v>
      </c>
      <c r="F96" s="10">
        <f ca="1">IFERROR(__xludf.DUMMYFUNCTION("VLOOKUP(A96,IMPORTRANGE(""https://docs.google.com/spreadsheets/d/1A0CnpyGr8OFVIrVQpDOl87k8CW58idzvggycPxfU8h0/edit#gid=1298946326"",""Hoja 6!A:G""),4,FALSE)"),70)</f>
        <v>70</v>
      </c>
      <c r="G96" s="11"/>
    </row>
    <row r="97" spans="1:7" ht="164.25" customHeight="1" x14ac:dyDescent="0.2">
      <c r="A97" s="6">
        <v>10030005</v>
      </c>
      <c r="B97" s="7" t="s">
        <v>104</v>
      </c>
      <c r="C97" s="8"/>
      <c r="D97" s="13"/>
      <c r="E97" s="9">
        <f ca="1">IFERROR(__xludf.DUMMYFUNCTION("VLOOKUP(A97,IMPORTRANGE(""https://docs.google.com/spreadsheets/d/1A0CnpyGr8OFVIrVQpDOl87k8CW58idzvggycPxfU8h0/edit#gid=1298946326"",""Matriz Madre!B:J""),9,FALSE)"),100)</f>
        <v>100</v>
      </c>
      <c r="F97" s="10">
        <f ca="1">IFERROR(__xludf.DUMMYFUNCTION("VLOOKUP(A97,IMPORTRANGE(""https://docs.google.com/spreadsheets/d/1A0CnpyGr8OFVIrVQpDOl87k8CW58idzvggycPxfU8h0/edit#gid=1298946326"",""Hoja 6!A:G""),4,FALSE)"),120)</f>
        <v>120</v>
      </c>
      <c r="G97" s="11"/>
    </row>
    <row r="98" spans="1:7" ht="164.25" customHeight="1" x14ac:dyDescent="0.2">
      <c r="A98" s="6">
        <v>10030003</v>
      </c>
      <c r="B98" s="7" t="s">
        <v>105</v>
      </c>
      <c r="C98" s="83"/>
      <c r="D98" s="81"/>
      <c r="E98" s="9">
        <f ca="1">IFERROR(__xludf.DUMMYFUNCTION("VLOOKUP(A98,IMPORTRANGE(""https://docs.google.com/spreadsheets/d/1A0CnpyGr8OFVIrVQpDOl87k8CW58idzvggycPxfU8h0/edit#gid=1298946326"",""Matriz Madre!B:J""),9,FALSE)"),5)</f>
        <v>5</v>
      </c>
      <c r="F98" s="10">
        <f ca="1">IFERROR(__xludf.DUMMYFUNCTION("VLOOKUP(A98,IMPORTRANGE(""https://docs.google.com/spreadsheets/d/1A0CnpyGr8OFVIrVQpDOl87k8CW58idzvggycPxfU8h0/edit#gid=1298946326"",""Hoja 6!A:G""),4,FALSE)"),10)</f>
        <v>10</v>
      </c>
      <c r="G98" s="11"/>
    </row>
    <row r="99" spans="1:7" ht="164.25" customHeight="1" x14ac:dyDescent="0.2">
      <c r="A99" s="6">
        <v>10120007</v>
      </c>
      <c r="B99" s="7" t="s">
        <v>106</v>
      </c>
      <c r="C99" s="83"/>
      <c r="D99" s="81"/>
      <c r="E99" s="9">
        <f ca="1">IFERROR(__xludf.DUMMYFUNCTION("VLOOKUP(A99,IMPORTRANGE(""https://docs.google.com/spreadsheets/d/1A0CnpyGr8OFVIrVQpDOl87k8CW58idzvggycPxfU8h0/edit#gid=1298946326"",""Matriz Madre!B:J""),9,FALSE)"),140)</f>
        <v>140</v>
      </c>
      <c r="F99" s="10">
        <f ca="1">IFERROR(__xludf.DUMMYFUNCTION("VLOOKUP(A99,IMPORTRANGE(""https://docs.google.com/spreadsheets/d/1A0CnpyGr8OFVIrVQpDOl87k8CW58idzvggycPxfU8h0/edit#gid=1298946326"",""Hoja 6!A:G""),4,FALSE)"),190)</f>
        <v>190</v>
      </c>
      <c r="G99" s="11"/>
    </row>
    <row r="100" spans="1:7" ht="164.25" customHeight="1" x14ac:dyDescent="0.2">
      <c r="A100" s="6">
        <v>10120004</v>
      </c>
      <c r="B100" s="7" t="s">
        <v>107</v>
      </c>
      <c r="C100" s="8"/>
      <c r="D100" s="13"/>
      <c r="E100" s="9">
        <f ca="1">IFERROR(__xludf.DUMMYFUNCTION("VLOOKUP(A100,IMPORTRANGE(""https://docs.google.com/spreadsheets/d/1A0CnpyGr8OFVIrVQpDOl87k8CW58idzvggycPxfU8h0/edit#gid=1298946326"",""Matriz Madre!B:J""),9,FALSE)"),130)</f>
        <v>130</v>
      </c>
      <c r="F100" s="10">
        <f ca="1">IFERROR(__xludf.DUMMYFUNCTION("VLOOKUP(A100,IMPORTRANGE(""https://docs.google.com/spreadsheets/d/1A0CnpyGr8OFVIrVQpDOl87k8CW58idzvggycPxfU8h0/edit#gid=1298946326"",""Hoja 6!A:G""),4,FALSE)"),180)</f>
        <v>180</v>
      </c>
      <c r="G100" s="11"/>
    </row>
    <row r="101" spans="1:7" ht="164.25" customHeight="1" x14ac:dyDescent="0.2">
      <c r="A101" s="85">
        <v>10120005</v>
      </c>
      <c r="B101" s="87" t="s">
        <v>108</v>
      </c>
      <c r="C101" s="8"/>
      <c r="D101" s="13"/>
      <c r="E101" s="89">
        <f ca="1">IFERROR(__xludf.DUMMYFUNCTION("VLOOKUP(A101,IMPORTRANGE(""https://docs.google.com/spreadsheets/d/1A0CnpyGr8OFVIrVQpDOl87k8CW58idzvggycPxfU8h0/edit#gid=1298946326"",""Matriz Madre!B:J""),9,FALSE)"),99.9)</f>
        <v>99.9</v>
      </c>
      <c r="F101" s="10">
        <f ca="1">IFERROR(__xludf.DUMMYFUNCTION("VLOOKUP(A101,IMPORTRANGE(""https://docs.google.com/spreadsheets/d/1A0CnpyGr8OFVIrVQpDOl87k8CW58idzvggycPxfU8h0/edit#gid=1298946326"",""Hoja 6!A:G""),4,FALSE)"),160)</f>
        <v>160</v>
      </c>
      <c r="G101" s="11"/>
    </row>
    <row r="102" spans="1:7" ht="164.25" customHeight="1" x14ac:dyDescent="0.2">
      <c r="A102" s="86"/>
      <c r="B102" s="88"/>
      <c r="C102" s="8"/>
      <c r="D102" s="13"/>
      <c r="E102" s="90"/>
      <c r="F102" s="10"/>
      <c r="G102" s="11"/>
    </row>
    <row r="103" spans="1:7" ht="164.25" customHeight="1" x14ac:dyDescent="0.2">
      <c r="A103" s="6">
        <v>20100005</v>
      </c>
      <c r="B103" s="7" t="s">
        <v>109</v>
      </c>
      <c r="C103" s="8"/>
      <c r="D103" s="13"/>
      <c r="E103" s="9">
        <f ca="1">IFERROR(__xludf.DUMMYFUNCTION("VLOOKUP(A103,IMPORTRANGE(""https://docs.google.com/spreadsheets/d/1A0CnpyGr8OFVIrVQpDOl87k8CW58idzvggycPxfU8h0/edit#gid=1298946326"",""Matriz Madre!B:J""),9,FALSE)"),80)</f>
        <v>80</v>
      </c>
      <c r="F103" s="10">
        <f ca="1">IFERROR(__xludf.DUMMYFUNCTION("VLOOKUP(A103,IMPORTRANGE(""https://docs.google.com/spreadsheets/d/1A0CnpyGr8OFVIrVQpDOl87k8CW58idzvggycPxfU8h0/edit#gid=1298946326"",""Hoja 6!A:G""),4,FALSE)"),130)</f>
        <v>130</v>
      </c>
      <c r="G103" s="11"/>
    </row>
    <row r="104" spans="1:7" ht="164.25" customHeight="1" x14ac:dyDescent="0.2">
      <c r="A104" s="6">
        <v>20100004</v>
      </c>
      <c r="B104" s="7" t="s">
        <v>110</v>
      </c>
      <c r="C104" s="8"/>
      <c r="D104" s="13"/>
      <c r="E104" s="9">
        <f ca="1">IFERROR(__xludf.DUMMYFUNCTION("VLOOKUP(A104,IMPORTRANGE(""https://docs.google.com/spreadsheets/d/1A0CnpyGr8OFVIrVQpDOl87k8CW58idzvggycPxfU8h0/edit#gid=1298946326"",""Matriz Madre!B:J""),9,FALSE)"),10)</f>
        <v>10</v>
      </c>
      <c r="F104" s="10">
        <f ca="1">IFERROR(__xludf.DUMMYFUNCTION("VLOOKUP(A104,IMPORTRANGE(""https://docs.google.com/spreadsheets/d/1A0CnpyGr8OFVIrVQpDOl87k8CW58idzvggycPxfU8h0/edit#gid=1298946326"",""Hoja 6!A:G""),4,FALSE)"),50)</f>
        <v>50</v>
      </c>
      <c r="G104" s="11"/>
    </row>
    <row r="105" spans="1:7" ht="164.25" customHeight="1" x14ac:dyDescent="0.2">
      <c r="A105" s="6">
        <v>10080293</v>
      </c>
      <c r="B105" s="7" t="s">
        <v>111</v>
      </c>
      <c r="C105" s="8"/>
      <c r="D105" s="13"/>
      <c r="E105" s="9">
        <f ca="1">IFERROR(__xludf.DUMMYFUNCTION("VLOOKUP(A105,IMPORTRANGE(""https://docs.google.com/spreadsheets/d/1A0CnpyGr8OFVIrVQpDOl87k8CW58idzvggycPxfU8h0/edit#gid=1298946326"",""Matriz Madre!B:J""),9,FALSE)"),90)</f>
        <v>90</v>
      </c>
      <c r="F105" s="10">
        <f ca="1">IFERROR(__xludf.DUMMYFUNCTION("VLOOKUP(A105,IMPORTRANGE(""https://docs.google.com/spreadsheets/d/1A0CnpyGr8OFVIrVQpDOl87k8CW58idzvggycPxfU8h0/edit#gid=1298946326"",""Hoja 6!A:G""),4,FALSE)"),140)</f>
        <v>140</v>
      </c>
      <c r="G105" s="11"/>
    </row>
    <row r="106" spans="1:7" ht="164.25" customHeight="1" x14ac:dyDescent="0.2">
      <c r="A106" s="6">
        <v>20090003</v>
      </c>
      <c r="B106" s="7" t="s">
        <v>112</v>
      </c>
      <c r="C106" s="8"/>
      <c r="D106" s="13"/>
      <c r="E106" s="9">
        <f ca="1">IFERROR(__xludf.DUMMYFUNCTION("VLOOKUP(A106,IMPORTRANGE(""https://docs.google.com/spreadsheets/d/1A0CnpyGr8OFVIrVQpDOl87k8CW58idzvggycPxfU8h0/edit#gid=1298946326"",""Matriz Madre!B:J""),9,FALSE)"),80)</f>
        <v>80</v>
      </c>
      <c r="F106" s="10">
        <f ca="1">IFERROR(__xludf.DUMMYFUNCTION("VLOOKUP(A106,IMPORTRANGE(""https://docs.google.com/spreadsheets/d/1A0CnpyGr8OFVIrVQpDOl87k8CW58idzvggycPxfU8h0/edit#gid=1298946326"",""Hoja 6!A:G""),4,FALSE)"),130)</f>
        <v>130</v>
      </c>
      <c r="G106" s="11"/>
    </row>
    <row r="107" spans="1:7" ht="164.25" customHeight="1" x14ac:dyDescent="0.2">
      <c r="A107" s="6">
        <v>20090001</v>
      </c>
      <c r="B107" s="7" t="s">
        <v>113</v>
      </c>
      <c r="C107" s="8"/>
      <c r="D107" s="13"/>
      <c r="E107" s="9">
        <f ca="1">IFERROR(__xludf.DUMMYFUNCTION("VLOOKUP(A107,IMPORTRANGE(""https://docs.google.com/spreadsheets/d/1A0CnpyGr8OFVIrVQpDOl87k8CW58idzvggycPxfU8h0/edit#gid=1298946326"",""Matriz Madre!B:J""),9,FALSE)"),74.9)</f>
        <v>74.900000000000006</v>
      </c>
      <c r="F107" s="10">
        <f ca="1">IFERROR(__xludf.DUMMYFUNCTION("VLOOKUP(A107,IMPORTRANGE(""https://docs.google.com/spreadsheets/d/1A0CnpyGr8OFVIrVQpDOl87k8CW58idzvggycPxfU8h0/edit#gid=1298946326"",""Hoja 6!A:G""),4,FALSE)"),130)</f>
        <v>130</v>
      </c>
      <c r="G107" s="11"/>
    </row>
    <row r="108" spans="1:7" ht="164.25" customHeight="1" x14ac:dyDescent="0.2">
      <c r="A108" s="6">
        <v>20090004</v>
      </c>
      <c r="B108" s="7" t="s">
        <v>114</v>
      </c>
      <c r="C108" s="8"/>
      <c r="D108" s="13"/>
      <c r="E108" s="9">
        <f ca="1">IFERROR(__xludf.DUMMYFUNCTION("VLOOKUP(A108,IMPORTRANGE(""https://docs.google.com/spreadsheets/d/1A0CnpyGr8OFVIrVQpDOl87k8CW58idzvggycPxfU8h0/edit#gid=1298946326"",""Matriz Madre!B:J""),9,FALSE)"),90)</f>
        <v>90</v>
      </c>
      <c r="F108" s="10">
        <f ca="1">IFERROR(__xludf.DUMMYFUNCTION("VLOOKUP(A108,IMPORTRANGE(""https://docs.google.com/spreadsheets/d/1A0CnpyGr8OFVIrVQpDOl87k8CW58idzvggycPxfU8h0/edit#gid=1298946326"",""Hoja 6!A:G""),4,FALSE)"),140)</f>
        <v>140</v>
      </c>
      <c r="G108" s="11"/>
    </row>
    <row r="109" spans="1:7" ht="164.25" customHeight="1" x14ac:dyDescent="0.2">
      <c r="A109" s="6">
        <v>10010076</v>
      </c>
      <c r="B109" s="7" t="s">
        <v>115</v>
      </c>
      <c r="C109" s="8"/>
      <c r="D109" s="13"/>
      <c r="E109" s="9">
        <f ca="1">IFERROR(__xludf.DUMMYFUNCTION("VLOOKUP(A109,IMPORTRANGE(""https://docs.google.com/spreadsheets/d/1A0CnpyGr8OFVIrVQpDOl87k8CW58idzvggycPxfU8h0/edit#gid=1298946326"",""Matriz Madre!B:J""),9,FALSE)"),160)</f>
        <v>160</v>
      </c>
      <c r="F109" s="10">
        <f ca="1">IFERROR(__xludf.DUMMYFUNCTION("VLOOKUP(A109,IMPORTRANGE(""https://docs.google.com/spreadsheets/d/1A0CnpyGr8OFVIrVQpDOl87k8CW58idzvggycPxfU8h0/edit#gid=1298946326"",""Hoja 6!A:G""),4,FALSE)"),210)</f>
        <v>210</v>
      </c>
      <c r="G109" s="11"/>
    </row>
    <row r="110" spans="1:7" ht="164.25" customHeight="1" x14ac:dyDescent="0.2">
      <c r="A110" s="6">
        <v>10010083</v>
      </c>
      <c r="B110" s="7" t="s">
        <v>116</v>
      </c>
      <c r="C110" s="8"/>
      <c r="D110" s="13"/>
      <c r="E110" s="9">
        <f ca="1">IFERROR(__xludf.DUMMYFUNCTION("VLOOKUP(A110,IMPORTRANGE(""https://docs.google.com/spreadsheets/d/1A0CnpyGr8OFVIrVQpDOl87k8CW58idzvggycPxfU8h0/edit#gid=1298946326"",""Matriz Madre!B:J""),9,FALSE)"),260)</f>
        <v>260</v>
      </c>
      <c r="F110" s="10">
        <f ca="1">IFERROR(__xludf.DUMMYFUNCTION("VLOOKUP(A110,IMPORTRANGE(""https://docs.google.com/spreadsheets/d/1A0CnpyGr8OFVIrVQpDOl87k8CW58idzvggycPxfU8h0/edit#gid=1298946326"",""Hoja 6!A:G""),4,FALSE)"),310)</f>
        <v>310</v>
      </c>
      <c r="G110" s="11"/>
    </row>
    <row r="111" spans="1:7" ht="164.25" customHeight="1" x14ac:dyDescent="0.2">
      <c r="A111" s="6">
        <v>10010097</v>
      </c>
      <c r="B111" s="7" t="s">
        <v>117</v>
      </c>
      <c r="C111" s="8"/>
      <c r="D111" s="13"/>
      <c r="E111" s="9">
        <f ca="1">IFERROR(__xludf.DUMMYFUNCTION("VLOOKUP(A111,IMPORTRANGE(""https://docs.google.com/spreadsheets/d/1A0CnpyGr8OFVIrVQpDOl87k8CW58idzvggycPxfU8h0/edit#gid=1298946326"",""Matriz Madre!B:J""),9,FALSE)"),270)</f>
        <v>270</v>
      </c>
      <c r="F111" s="10">
        <f ca="1">IFERROR(__xludf.DUMMYFUNCTION("VLOOKUP(A111,IMPORTRANGE(""https://docs.google.com/spreadsheets/d/1A0CnpyGr8OFVIrVQpDOl87k8CW58idzvggycPxfU8h0/edit#gid=1298946326"",""Hoja 6!A:G""),4,FALSE)"),320)</f>
        <v>320</v>
      </c>
      <c r="G111" s="11"/>
    </row>
    <row r="112" spans="1:7" ht="164.25" customHeight="1" x14ac:dyDescent="0.2">
      <c r="A112" s="6">
        <v>10160121</v>
      </c>
      <c r="B112" s="7" t="s">
        <v>118</v>
      </c>
      <c r="C112" s="8"/>
      <c r="D112" s="13"/>
      <c r="E112" s="9">
        <f ca="1">IFERROR(__xludf.DUMMYFUNCTION("VLOOKUP(A112,IMPORTRANGE(""https://docs.google.com/spreadsheets/d/1A0CnpyGr8OFVIrVQpDOl87k8CW58idzvggycPxfU8h0/edit#gid=1298946326"",""Matriz Madre!B:J""),9,FALSE)"),90)</f>
        <v>90</v>
      </c>
      <c r="F112" s="10">
        <f ca="1">IFERROR(__xludf.DUMMYFUNCTION("VLOOKUP(A112,IMPORTRANGE(""https://docs.google.com/spreadsheets/d/1A0CnpyGr8OFVIrVQpDOl87k8CW58idzvggycPxfU8h0/edit#gid=1298946326"",""Hoja 6!A:G""),4,FALSE)"),130)</f>
        <v>130</v>
      </c>
      <c r="G112" s="11"/>
    </row>
    <row r="113" spans="1:7" ht="164.25" customHeight="1" x14ac:dyDescent="0.2">
      <c r="A113" s="6">
        <v>10160102</v>
      </c>
      <c r="B113" s="7" t="s">
        <v>119</v>
      </c>
      <c r="C113" s="34"/>
      <c r="D113" s="13"/>
      <c r="E113" s="9">
        <f ca="1">IFERROR(__xludf.DUMMYFUNCTION("VLOOKUP(A113,IMPORTRANGE(""https://docs.google.com/spreadsheets/d/1A0CnpyGr8OFVIrVQpDOl87k8CW58idzvggycPxfU8h0/edit#gid=1298946326"",""Matriz Madre!B:J""),9,FALSE)"),19.9)</f>
        <v>19.899999999999999</v>
      </c>
      <c r="F113" s="10">
        <f ca="1">IFERROR(__xludf.DUMMYFUNCTION("VLOOKUP(A113,IMPORTRANGE(""https://docs.google.com/spreadsheets/d/1A0CnpyGr8OFVIrVQpDOl87k8CW58idzvggycPxfU8h0/edit#gid=1298946326"",""Hoja 6!A:G""),4,FALSE)"),70)</f>
        <v>70</v>
      </c>
      <c r="G113" s="11"/>
    </row>
    <row r="114" spans="1:7" ht="164.25" customHeight="1" x14ac:dyDescent="0.2">
      <c r="A114" s="6">
        <v>10160059</v>
      </c>
      <c r="B114" s="7" t="s">
        <v>120</v>
      </c>
      <c r="C114" s="8"/>
      <c r="D114" s="13"/>
      <c r="E114" s="9">
        <f ca="1">IFERROR(__xludf.DUMMYFUNCTION("VLOOKUP(A114,IMPORTRANGE(""https://docs.google.com/spreadsheets/d/1A0CnpyGr8OFVIrVQpDOl87k8CW58idzvggycPxfU8h0/edit#gid=1298946326"",""Matriz Madre!B:J""),9,FALSE)"),100)</f>
        <v>100</v>
      </c>
      <c r="F114" s="10">
        <f ca="1">IFERROR(__xludf.DUMMYFUNCTION("VLOOKUP(A114,IMPORTRANGE(""https://docs.google.com/spreadsheets/d/1A0CnpyGr8OFVIrVQpDOl87k8CW58idzvggycPxfU8h0/edit#gid=1298946326"",""Hoja 6!A:G""),4,FALSE)"),150)</f>
        <v>150</v>
      </c>
      <c r="G114" s="11"/>
    </row>
    <row r="115" spans="1:7" ht="164.25" customHeight="1" x14ac:dyDescent="0.2">
      <c r="A115" s="6">
        <v>20050027</v>
      </c>
      <c r="B115" s="7" t="s">
        <v>121</v>
      </c>
      <c r="C115" s="8"/>
      <c r="D115" s="13"/>
      <c r="E115" s="9">
        <f ca="1">IFERROR(__xludf.DUMMYFUNCTION("VLOOKUP(A115,IMPORTRANGE(""https://docs.google.com/spreadsheets/d/1A0CnpyGr8OFVIrVQpDOl87k8CW58idzvggycPxfU8h0/edit#gid=1298946326"",""Matriz Madre!B:J""),9,FALSE)"),30)</f>
        <v>30</v>
      </c>
      <c r="F115" s="10">
        <f ca="1">IFERROR(__xludf.DUMMYFUNCTION("VLOOKUP(A115,IMPORTRANGE(""https://docs.google.com/spreadsheets/d/1A0CnpyGr8OFVIrVQpDOl87k8CW58idzvggycPxfU8h0/edit#gid=1298946326"",""Hoja 6!A:G""),4,FALSE)"),50)</f>
        <v>50</v>
      </c>
      <c r="G115" s="11"/>
    </row>
    <row r="116" spans="1:7" ht="164.25" customHeight="1" x14ac:dyDescent="0.2">
      <c r="A116" s="6">
        <v>10160047</v>
      </c>
      <c r="B116" s="7" t="s">
        <v>122</v>
      </c>
      <c r="C116" s="8"/>
      <c r="D116" s="13"/>
      <c r="E116" s="9">
        <f ca="1">IFERROR(__xludf.DUMMYFUNCTION("VLOOKUP(A116,IMPORTRANGE(""https://docs.google.com/spreadsheets/d/1A0CnpyGr8OFVIrVQpDOl87k8CW58idzvggycPxfU8h0/edit#gid=1298946326"",""Matriz Madre!B:J""),9,FALSE)"),50)</f>
        <v>50</v>
      </c>
      <c r="F116" s="10">
        <f ca="1">IFERROR(__xludf.DUMMYFUNCTION("VLOOKUP(A116,IMPORTRANGE(""https://docs.google.com/spreadsheets/d/1A0CnpyGr8OFVIrVQpDOl87k8CW58idzvggycPxfU8h0/edit#gid=1298946326"",""Hoja 6!A:G""),4,FALSE)"),80)</f>
        <v>80</v>
      </c>
      <c r="G116" s="11"/>
    </row>
    <row r="117" spans="1:7" ht="164.25" customHeight="1" x14ac:dyDescent="0.2">
      <c r="A117" s="6">
        <v>10010386</v>
      </c>
      <c r="B117" s="7" t="s">
        <v>123</v>
      </c>
      <c r="C117" s="8"/>
      <c r="D117" s="13"/>
      <c r="E117" s="9">
        <f ca="1">IFERROR(__xludf.DUMMYFUNCTION("VLOOKUP(A117,IMPORTRANGE(""https://docs.google.com/spreadsheets/d/1A0CnpyGr8OFVIrVQpDOl87k8CW58idzvggycPxfU8h0/edit#gid=1298946326"",""Matriz Madre!B:J""),9,FALSE)"),40)</f>
        <v>40</v>
      </c>
      <c r="F117" s="10">
        <f ca="1">IFERROR(__xludf.DUMMYFUNCTION("VLOOKUP(A117,IMPORTRANGE(""https://docs.google.com/spreadsheets/d/1A0CnpyGr8OFVIrVQpDOl87k8CW58idzvggycPxfU8h0/edit#gid=1298946326"",""Hoja 6!A:G""),4,FALSE)"),80)</f>
        <v>80</v>
      </c>
      <c r="G117" s="11"/>
    </row>
    <row r="118" spans="1:7" ht="164.25" customHeight="1" x14ac:dyDescent="0.2">
      <c r="A118" s="6">
        <v>10110024</v>
      </c>
      <c r="B118" s="7" t="s">
        <v>124</v>
      </c>
      <c r="C118" s="8"/>
      <c r="D118" s="13"/>
      <c r="E118" s="9">
        <f ca="1">IFERROR(__xludf.DUMMYFUNCTION("VLOOKUP(A118,IMPORTRANGE(""https://docs.google.com/spreadsheets/d/1A0CnpyGr8OFVIrVQpDOl87k8CW58idzvggycPxfU8h0/edit#gid=1298946326"",""Matriz Madre!B:J""),9,FALSE)"),10)</f>
        <v>10</v>
      </c>
      <c r="F118" s="10">
        <f ca="1">IFERROR(__xludf.DUMMYFUNCTION("VLOOKUP(A118,IMPORTRANGE(""https://docs.google.com/spreadsheets/d/1A0CnpyGr8OFVIrVQpDOl87k8CW58idzvggycPxfU8h0/edit#gid=1298946326"",""Hoja 6!A:G""),4,FALSE)"),30)</f>
        <v>30</v>
      </c>
      <c r="G118" s="11"/>
    </row>
    <row r="119" spans="1:7" ht="164.25" customHeight="1" x14ac:dyDescent="0.2">
      <c r="A119" s="6">
        <v>10010099</v>
      </c>
      <c r="B119" s="7" t="s">
        <v>125</v>
      </c>
      <c r="C119" s="8"/>
      <c r="D119" s="13"/>
      <c r="E119" s="9">
        <f ca="1">IFERROR(__xludf.DUMMYFUNCTION("VLOOKUP(A119,IMPORTRANGE(""https://docs.google.com/spreadsheets/d/1A0CnpyGr8OFVIrVQpDOl87k8CW58idzvggycPxfU8h0/edit#gid=1298946326"",""Matriz Madre!B:J""),9,FALSE)"),20)</f>
        <v>20</v>
      </c>
      <c r="F119" s="10">
        <f ca="1">IFERROR(__xludf.DUMMYFUNCTION("VLOOKUP(A119,IMPORTRANGE(""https://docs.google.com/spreadsheets/d/1A0CnpyGr8OFVIrVQpDOl87k8CW58idzvggycPxfU8h0/edit#gid=1298946326"",""Hoja 6!A:G""),4,FALSE)"),40)</f>
        <v>40</v>
      </c>
      <c r="G119" s="11"/>
    </row>
    <row r="120" spans="1:7" ht="164.25" customHeight="1" x14ac:dyDescent="0.2">
      <c r="A120" s="6">
        <v>10090001</v>
      </c>
      <c r="B120" s="7" t="s">
        <v>126</v>
      </c>
      <c r="C120" s="8"/>
      <c r="D120" s="13"/>
      <c r="E120" s="9">
        <f ca="1">IFERROR(__xludf.DUMMYFUNCTION("VLOOKUP(A120,IMPORTRANGE(""https://docs.google.com/spreadsheets/d/1A0CnpyGr8OFVIrVQpDOl87k8CW58idzvggycPxfU8h0/edit#gid=1298946326"",""Matriz Madre!B:J""),9,FALSE)"),50)</f>
        <v>50</v>
      </c>
      <c r="F120" s="10">
        <f ca="1">IFERROR(__xludf.DUMMYFUNCTION("VLOOKUP(A120,IMPORTRANGE(""https://docs.google.com/spreadsheets/d/1A0CnpyGr8OFVIrVQpDOl87k8CW58idzvggycPxfU8h0/edit#gid=1298946326"",""Hoja 6!A:G""),4,FALSE)"),80)</f>
        <v>80</v>
      </c>
      <c r="G120" s="11"/>
    </row>
    <row r="121" spans="1:7" ht="164.25" customHeight="1" x14ac:dyDescent="0.2">
      <c r="A121" s="6">
        <v>10080030</v>
      </c>
      <c r="B121" s="7" t="s">
        <v>127</v>
      </c>
      <c r="C121" s="8"/>
      <c r="D121" s="13"/>
      <c r="E121" s="9">
        <f ca="1">IFERROR(__xludf.DUMMYFUNCTION("VLOOKUP(A121,IMPORTRANGE(""https://docs.google.com/spreadsheets/d/1A0CnpyGr8OFVIrVQpDOl87k8CW58idzvggycPxfU8h0/edit#gid=1298946326"",""Matriz Madre!B:J""),9,FALSE)"),70)</f>
        <v>70</v>
      </c>
      <c r="F121" s="10">
        <f ca="1">IFERROR(__xludf.DUMMYFUNCTION("VLOOKUP(A121,IMPORTRANGE(""https://docs.google.com/spreadsheets/d/1A0CnpyGr8OFVIrVQpDOl87k8CW58idzvggycPxfU8h0/edit#gid=1298946326"",""Hoja 6!A:G""),4,FALSE)"),120)</f>
        <v>120</v>
      </c>
      <c r="G121" s="11"/>
    </row>
    <row r="122" spans="1:7" ht="164.25" customHeight="1" x14ac:dyDescent="0.2">
      <c r="A122" s="6">
        <v>10010006</v>
      </c>
      <c r="B122" s="7" t="s">
        <v>128</v>
      </c>
      <c r="C122" s="14"/>
      <c r="D122" s="15"/>
      <c r="E122" s="9">
        <f ca="1">IFERROR(__xludf.DUMMYFUNCTION("VLOOKUP(A122,IMPORTRANGE(""https://docs.google.com/spreadsheets/d/1A0CnpyGr8OFVIrVQpDOl87k8CW58idzvggycPxfU8h0/edit#gid=1298946326"",""Matriz Madre!B:J""),9,FALSE)"),30)</f>
        <v>30</v>
      </c>
      <c r="F122" s="10">
        <f ca="1">IFERROR(__xludf.DUMMYFUNCTION("VLOOKUP(A122,IMPORTRANGE(""https://docs.google.com/spreadsheets/d/1A0CnpyGr8OFVIrVQpDOl87k8CW58idzvggycPxfU8h0/edit#gid=1298946326"",""Hoja 6!A:G""),4,FALSE)"),50)</f>
        <v>50</v>
      </c>
      <c r="G122" s="35"/>
    </row>
    <row r="123" spans="1:7" ht="164.25" customHeight="1" x14ac:dyDescent="0.2">
      <c r="A123" s="6">
        <v>10020090</v>
      </c>
      <c r="B123" s="7" t="s">
        <v>129</v>
      </c>
      <c r="C123" s="8"/>
      <c r="D123" s="13"/>
      <c r="E123" s="9">
        <f ca="1">IFERROR(__xludf.DUMMYFUNCTION("VLOOKUP(A123,IMPORTRANGE(""https://docs.google.com/spreadsheets/d/1A0CnpyGr8OFVIrVQpDOl87k8CW58idzvggycPxfU8h0/edit#gid=1298946326"",""Matriz Madre!B:J""),9,FALSE)"),139.9)</f>
        <v>139.9</v>
      </c>
      <c r="F123" s="10">
        <f ca="1">IFERROR(__xludf.DUMMYFUNCTION("VLOOKUP(A123,IMPORTRANGE(""https://docs.google.com/spreadsheets/d/1A0CnpyGr8OFVIrVQpDOl87k8CW58idzvggycPxfU8h0/edit#gid=1298946326"",""Hoja 6!A:G""),4,FALSE)"),200)</f>
        <v>200</v>
      </c>
      <c r="G123" s="11"/>
    </row>
    <row r="124" spans="1:7" ht="164.25" customHeight="1" x14ac:dyDescent="0.2">
      <c r="A124" s="6">
        <v>10080304</v>
      </c>
      <c r="B124" s="7" t="s">
        <v>130</v>
      </c>
      <c r="C124" s="83"/>
      <c r="D124" s="81"/>
      <c r="E124" s="9">
        <f ca="1">IFERROR(__xludf.DUMMYFUNCTION("VLOOKUP(A124,IMPORTRANGE(""https://docs.google.com/spreadsheets/d/1A0CnpyGr8OFVIrVQpDOl87k8CW58idzvggycPxfU8h0/edit#gid=1298946326"",""Matriz Madre!B:J""),9,FALSE)"),80)</f>
        <v>80</v>
      </c>
      <c r="F124" s="10">
        <f ca="1">IFERROR(__xludf.DUMMYFUNCTION("VLOOKUP(A124,IMPORTRANGE(""https://docs.google.com/spreadsheets/d/1A0CnpyGr8OFVIrVQpDOl87k8CW58idzvggycPxfU8h0/edit#gid=1298946326"",""Hoja 6!A:G""),4,FALSE)"),130)</f>
        <v>130</v>
      </c>
      <c r="G124" s="11"/>
    </row>
    <row r="125" spans="1:7" ht="164.25" customHeight="1" x14ac:dyDescent="0.2">
      <c r="A125" s="6">
        <v>10080305</v>
      </c>
      <c r="B125" s="7" t="s">
        <v>131</v>
      </c>
      <c r="C125" s="83"/>
      <c r="D125" s="81"/>
      <c r="E125" s="9">
        <f ca="1">IFERROR(__xludf.DUMMYFUNCTION("VLOOKUP(A125,IMPORTRANGE(""https://docs.google.com/spreadsheets/d/1A0CnpyGr8OFVIrVQpDOl87k8CW58idzvggycPxfU8h0/edit#gid=1298946326"",""Matriz Madre!B:J""),9,FALSE)"),24.9)</f>
        <v>24.9</v>
      </c>
      <c r="F125" s="10">
        <f ca="1">IFERROR(__xludf.DUMMYFUNCTION("VLOOKUP(A125,IMPORTRANGE(""https://docs.google.com/spreadsheets/d/1A0CnpyGr8OFVIrVQpDOl87k8CW58idzvggycPxfU8h0/edit#gid=1298946326"",""Hoja 6!A:G""),4,FALSE)"),130)</f>
        <v>130</v>
      </c>
      <c r="G125" s="11"/>
    </row>
    <row r="126" spans="1:7" ht="164.25" customHeight="1" x14ac:dyDescent="0.2">
      <c r="A126" s="6">
        <v>10080306</v>
      </c>
      <c r="B126" s="7" t="s">
        <v>132</v>
      </c>
      <c r="C126" s="8"/>
      <c r="D126" s="13"/>
      <c r="E126" s="9">
        <f ca="1">IFERROR(__xludf.DUMMYFUNCTION("VLOOKUP(A126,IMPORTRANGE(""https://docs.google.com/spreadsheets/d/1A0CnpyGr8OFVIrVQpDOl87k8CW58idzvggycPxfU8h0/edit#gid=1298946326"",""Matriz Madre!B:J""),9,FALSE)"),50)</f>
        <v>50</v>
      </c>
      <c r="F126" s="10">
        <f ca="1">IFERROR(__xludf.DUMMYFUNCTION("VLOOKUP(A126,IMPORTRANGE(""https://docs.google.com/spreadsheets/d/1A0CnpyGr8OFVIrVQpDOl87k8CW58idzvggycPxfU8h0/edit#gid=1298946326"",""Hoja 6!A:G""),4,FALSE)"),100)</f>
        <v>100</v>
      </c>
      <c r="G126" s="11"/>
    </row>
    <row r="127" spans="1:7" ht="164.25" customHeight="1" x14ac:dyDescent="0.2">
      <c r="A127" s="6">
        <v>10080307</v>
      </c>
      <c r="B127" s="7" t="s">
        <v>133</v>
      </c>
      <c r="C127" s="8"/>
      <c r="D127" s="13"/>
      <c r="E127" s="9">
        <f ca="1">IFERROR(__xludf.DUMMYFUNCTION("VLOOKUP(A127,IMPORTRANGE(""https://docs.google.com/spreadsheets/d/1A0CnpyGr8OFVIrVQpDOl87k8CW58idzvggycPxfU8h0/edit#gid=1298946326"",""Matriz Madre!B:J""),9,FALSE)"),50)</f>
        <v>50</v>
      </c>
      <c r="F127" s="10">
        <f ca="1">IFERROR(__xludf.DUMMYFUNCTION("VLOOKUP(A127,IMPORTRANGE(""https://docs.google.com/spreadsheets/d/1A0CnpyGr8OFVIrVQpDOl87k8CW58idzvggycPxfU8h0/edit#gid=1298946326"",""Hoja 6!A:G""),4,FALSE)"),90)</f>
        <v>90</v>
      </c>
      <c r="G127" s="11"/>
    </row>
    <row r="128" spans="1:7" ht="186" customHeight="1" x14ac:dyDescent="0.2">
      <c r="A128" s="6">
        <v>10080308</v>
      </c>
      <c r="B128" s="7" t="s">
        <v>134</v>
      </c>
      <c r="C128" s="36" t="s">
        <v>135</v>
      </c>
      <c r="D128" s="13"/>
      <c r="E128" s="9">
        <f ca="1">IFERROR(__xludf.DUMMYFUNCTION("VLOOKUP(A128,IMPORTRANGE(""https://docs.google.com/spreadsheets/d/1A0CnpyGr8OFVIrVQpDOl87k8CW58idzvggycPxfU8h0/edit#gid=1298946326"",""Matriz Madre!B:J""),9,FALSE)"),170)</f>
        <v>170</v>
      </c>
      <c r="F128" s="10">
        <f ca="1">IFERROR(__xludf.DUMMYFUNCTION("VLOOKUP(A128,IMPORTRANGE(""https://docs.google.com/spreadsheets/d/1A0CnpyGr8OFVIrVQpDOl87k8CW58idzvggycPxfU8h0/edit#gid=1298946326"",""Hoja 6!A:G""),4,FALSE)"),220)</f>
        <v>220</v>
      </c>
      <c r="G128" s="11"/>
    </row>
    <row r="129" spans="1:7" ht="164.25" customHeight="1" x14ac:dyDescent="0.2">
      <c r="A129" s="6">
        <v>10080309</v>
      </c>
      <c r="B129" s="7" t="s">
        <v>136</v>
      </c>
      <c r="C129" s="37" t="s">
        <v>137</v>
      </c>
      <c r="D129" s="13"/>
      <c r="E129" s="9">
        <f ca="1">IFERROR(__xludf.DUMMYFUNCTION("VLOOKUP(A129,IMPORTRANGE(""https://docs.google.com/spreadsheets/d/1A0CnpyGr8OFVIrVQpDOl87k8CW58idzvggycPxfU8h0/edit#gid=1298946326"",""Matriz Madre!B:J""),9,FALSE)"),220)</f>
        <v>220</v>
      </c>
      <c r="F129" s="10">
        <f ca="1">IFERROR(__xludf.DUMMYFUNCTION("VLOOKUP(A129,IMPORTRANGE(""https://docs.google.com/spreadsheets/d/1A0CnpyGr8OFVIrVQpDOl87k8CW58idzvggycPxfU8h0/edit#gid=1298946326"",""Hoja 6!A:G""),4,FALSE)"),270)</f>
        <v>270</v>
      </c>
      <c r="G129" s="11"/>
    </row>
    <row r="130" spans="1:7" ht="164.25" customHeight="1" x14ac:dyDescent="0.2">
      <c r="A130" s="6">
        <v>10080310</v>
      </c>
      <c r="B130" s="7" t="s">
        <v>138</v>
      </c>
      <c r="C130" s="8"/>
      <c r="D130" s="13"/>
      <c r="E130" s="9">
        <f ca="1">IFERROR(__xludf.DUMMYFUNCTION("VLOOKUP(A130,IMPORTRANGE(""https://docs.google.com/spreadsheets/d/1A0CnpyGr8OFVIrVQpDOl87k8CW58idzvggycPxfU8h0/edit#gid=1298946326"",""Matriz Madre!B:J""),9,FALSE)"),30)</f>
        <v>30</v>
      </c>
      <c r="F130" s="10">
        <f ca="1">IFERROR(__xludf.DUMMYFUNCTION("VLOOKUP(A130,IMPORTRANGE(""https://docs.google.com/spreadsheets/d/1A0CnpyGr8OFVIrVQpDOl87k8CW58idzvggycPxfU8h0/edit#gid=1298946326"",""Hoja 6!A:G""),4,FALSE)"),70)</f>
        <v>70</v>
      </c>
      <c r="G130" s="11"/>
    </row>
    <row r="131" spans="1:7" ht="164.25" customHeight="1" x14ac:dyDescent="0.2">
      <c r="A131" s="6">
        <v>20130014</v>
      </c>
      <c r="B131" s="7" t="s">
        <v>139</v>
      </c>
      <c r="C131" s="8"/>
      <c r="D131" s="13"/>
      <c r="E131" s="9">
        <f ca="1">IFERROR(__xludf.DUMMYFUNCTION("VLOOKUP(A131,IMPORTRANGE(""https://docs.google.com/spreadsheets/d/1A0CnpyGr8OFVIrVQpDOl87k8CW58idzvggycPxfU8h0/edit#gid=1298946326"",""Matriz Madre!B:J""),9,FALSE)"),90)</f>
        <v>90</v>
      </c>
      <c r="F131" s="10">
        <f ca="1">IFERROR(__xludf.DUMMYFUNCTION("VLOOKUP(A131,IMPORTRANGE(""https://docs.google.com/spreadsheets/d/1A0CnpyGr8OFVIrVQpDOl87k8CW58idzvggycPxfU8h0/edit#gid=1298946326"",""Hoja 6!A:G""),4,FALSE)"),120)</f>
        <v>120</v>
      </c>
      <c r="G131" s="11"/>
    </row>
    <row r="132" spans="1:7" ht="164.25" customHeight="1" x14ac:dyDescent="0.2">
      <c r="A132" s="6">
        <v>20130016</v>
      </c>
      <c r="B132" s="7" t="s">
        <v>140</v>
      </c>
      <c r="C132" s="8"/>
      <c r="D132" s="13"/>
      <c r="E132" s="9">
        <f ca="1">IFERROR(__xludf.DUMMYFUNCTION("VLOOKUP(A132,IMPORTRANGE(""https://docs.google.com/spreadsheets/d/1A0CnpyGr8OFVIrVQpDOl87k8CW58idzvggycPxfU8h0/edit#gid=1298946326"",""Matriz Madre!B:J""),9,FALSE)"),50)</f>
        <v>50</v>
      </c>
      <c r="F132" s="10">
        <f ca="1">IFERROR(__xludf.DUMMYFUNCTION("VLOOKUP(A132,IMPORTRANGE(""https://docs.google.com/spreadsheets/d/1A0CnpyGr8OFVIrVQpDOl87k8CW58idzvggycPxfU8h0/edit#gid=1298946326"",""Hoja 6!A:G""),4,FALSE)"),80)</f>
        <v>80</v>
      </c>
      <c r="G132" s="11"/>
    </row>
    <row r="133" spans="1:7" ht="164.25" customHeight="1" x14ac:dyDescent="0.2">
      <c r="A133" s="6">
        <v>10080007</v>
      </c>
      <c r="B133" s="7" t="s">
        <v>141</v>
      </c>
      <c r="C133" s="8"/>
      <c r="D133" s="13"/>
      <c r="E133" s="9">
        <f ca="1">IFERROR(__xludf.DUMMYFUNCTION("VLOOKUP(A133,IMPORTRANGE(""https://docs.google.com/spreadsheets/d/1A0CnpyGr8OFVIrVQpDOl87k8CW58idzvggycPxfU8h0/edit#gid=1298946326"",""Matriz Madre!B:J""),9,FALSE)"),130)</f>
        <v>130</v>
      </c>
      <c r="F133" s="10">
        <f ca="1">IFERROR(__xludf.DUMMYFUNCTION("VLOOKUP(A133,IMPORTRANGE(""https://docs.google.com/spreadsheets/d/1A0CnpyGr8OFVIrVQpDOl87k8CW58idzvggycPxfU8h0/edit#gid=1298946326"",""Hoja 6!A:G""),4,FALSE)"),170)</f>
        <v>170</v>
      </c>
      <c r="G133" s="11"/>
    </row>
    <row r="134" spans="1:7" ht="164.25" customHeight="1" x14ac:dyDescent="0.2">
      <c r="A134" s="6">
        <v>10080314</v>
      </c>
      <c r="B134" s="7" t="s">
        <v>142</v>
      </c>
      <c r="C134" s="8"/>
      <c r="D134" s="13"/>
      <c r="E134" s="9">
        <f ca="1">IFERROR(__xludf.DUMMYFUNCTION("VLOOKUP(A134,IMPORTRANGE(""https://docs.google.com/spreadsheets/d/1A0CnpyGr8OFVIrVQpDOl87k8CW58idzvggycPxfU8h0/edit#gid=1298946326"",""Matriz Madre!B:J""),9,FALSE)"),39.9)</f>
        <v>39.9</v>
      </c>
      <c r="F134" s="10">
        <f ca="1">IFERROR(__xludf.DUMMYFUNCTION("VLOOKUP(A134,IMPORTRANGE(""https://docs.google.com/spreadsheets/d/1A0CnpyGr8OFVIrVQpDOl87k8CW58idzvggycPxfU8h0/edit#gid=1298946326"",""Hoja 6!A:G""),4,FALSE)"),70)</f>
        <v>70</v>
      </c>
      <c r="G134" s="11"/>
    </row>
    <row r="135" spans="1:7" ht="164.25" customHeight="1" x14ac:dyDescent="0.2">
      <c r="A135" s="6">
        <v>10080315</v>
      </c>
      <c r="B135" s="7" t="s">
        <v>143</v>
      </c>
      <c r="C135" s="8"/>
      <c r="D135" s="13"/>
      <c r="E135" s="9">
        <f ca="1">IFERROR(__xludf.DUMMYFUNCTION("VLOOKUP(A135,IMPORTRANGE(""https://docs.google.com/spreadsheets/d/1A0CnpyGr8OFVIrVQpDOl87k8CW58idzvggycPxfU8h0/edit#gid=1298946326"",""Matriz Madre!B:J""),9,FALSE)"),60)</f>
        <v>60</v>
      </c>
      <c r="F135" s="10">
        <f ca="1">IFERROR(__xludf.DUMMYFUNCTION("VLOOKUP(A135,IMPORTRANGE(""https://docs.google.com/spreadsheets/d/1A0CnpyGr8OFVIrVQpDOl87k8CW58idzvggycPxfU8h0/edit#gid=1298946326"",""Hoja 6!A:G""),4,FALSE)"),90)</f>
        <v>90</v>
      </c>
      <c r="G135" s="11"/>
    </row>
    <row r="136" spans="1:7" ht="164.25" customHeight="1" x14ac:dyDescent="0.2">
      <c r="A136" s="6">
        <v>10080316</v>
      </c>
      <c r="B136" s="7" t="s">
        <v>144</v>
      </c>
      <c r="C136" s="8"/>
      <c r="D136" s="13"/>
      <c r="E136" s="9">
        <f ca="1">IFERROR(__xludf.DUMMYFUNCTION("VLOOKUP(A136,IMPORTRANGE(""https://docs.google.com/spreadsheets/d/1A0CnpyGr8OFVIrVQpDOl87k8CW58idzvggycPxfU8h0/edit#gid=1298946326"",""Matriz Madre!B:J""),9,FALSE)"),70)</f>
        <v>70</v>
      </c>
      <c r="F136" s="10">
        <f ca="1">IFERROR(__xludf.DUMMYFUNCTION("VLOOKUP(A136,IMPORTRANGE(""https://docs.google.com/spreadsheets/d/1A0CnpyGr8OFVIrVQpDOl87k8CW58idzvggycPxfU8h0/edit#gid=1298946326"",""Hoja 6!A:G""),4,FALSE)"),90)</f>
        <v>90</v>
      </c>
      <c r="G136" s="11"/>
    </row>
    <row r="137" spans="1:7" ht="164.25" customHeight="1" x14ac:dyDescent="0.2">
      <c r="A137" s="6">
        <v>10080317</v>
      </c>
      <c r="B137" s="7" t="s">
        <v>145</v>
      </c>
      <c r="C137" s="8"/>
      <c r="D137" s="13"/>
      <c r="E137" s="9">
        <f ca="1">IFERROR(__xludf.DUMMYFUNCTION("VLOOKUP(A137,IMPORTRANGE(""https://docs.google.com/spreadsheets/d/1A0CnpyGr8OFVIrVQpDOl87k8CW58idzvggycPxfU8h0/edit#gid=1298946326"",""Matriz Madre!B:J""),9,FALSE)"),100)</f>
        <v>100</v>
      </c>
      <c r="F137" s="10">
        <f ca="1">IFERROR(__xludf.DUMMYFUNCTION("VLOOKUP(A137,IMPORTRANGE(""https://docs.google.com/spreadsheets/d/1A0CnpyGr8OFVIrVQpDOl87k8CW58idzvggycPxfU8h0/edit#gid=1298946326"",""Hoja 6!A:G""),4,FALSE)"),130)</f>
        <v>130</v>
      </c>
      <c r="G137" s="11"/>
    </row>
    <row r="138" spans="1:7" ht="164.25" customHeight="1" x14ac:dyDescent="0.2">
      <c r="A138" s="6">
        <v>10080318</v>
      </c>
      <c r="B138" s="7" t="s">
        <v>146</v>
      </c>
      <c r="C138" s="8"/>
      <c r="D138" s="13"/>
      <c r="E138" s="9">
        <f ca="1">IFERROR(__xludf.DUMMYFUNCTION("VLOOKUP(A138,IMPORTRANGE(""https://docs.google.com/spreadsheets/d/1A0CnpyGr8OFVIrVQpDOl87k8CW58idzvggycPxfU8h0/edit#gid=1298946326"",""Matriz Madre!B:J""),9,FALSE)"),80)</f>
        <v>80</v>
      </c>
      <c r="F138" s="10">
        <f ca="1">IFERROR(__xludf.DUMMYFUNCTION("VLOOKUP(A138,IMPORTRANGE(""https://docs.google.com/spreadsheets/d/1A0CnpyGr8OFVIrVQpDOl87k8CW58idzvggycPxfU8h0/edit#gid=1298946326"",""Hoja 6!A:G""),4,FALSE)"),95)</f>
        <v>95</v>
      </c>
      <c r="G138" s="11"/>
    </row>
    <row r="139" spans="1:7" ht="164.25" customHeight="1" x14ac:dyDescent="0.2">
      <c r="A139" s="6">
        <v>10080319</v>
      </c>
      <c r="B139" s="7" t="s">
        <v>147</v>
      </c>
      <c r="C139" s="8"/>
      <c r="D139" s="13"/>
      <c r="E139" s="9">
        <f ca="1">IFERROR(__xludf.DUMMYFUNCTION("VLOOKUP(A139,IMPORTRANGE(""https://docs.google.com/spreadsheets/d/1A0CnpyGr8OFVIrVQpDOl87k8CW58idzvggycPxfU8h0/edit#gid=1298946326"",""Matriz Madre!B:J""),9,FALSE)"),100)</f>
        <v>100</v>
      </c>
      <c r="F139" s="10">
        <f ca="1">IFERROR(__xludf.DUMMYFUNCTION("VLOOKUP(A139,IMPORTRANGE(""https://docs.google.com/spreadsheets/d/1A0CnpyGr8OFVIrVQpDOl87k8CW58idzvggycPxfU8h0/edit#gid=1298946326"",""Hoja 6!A:G""),4,FALSE)"),130)</f>
        <v>130</v>
      </c>
      <c r="G139" s="11"/>
    </row>
    <row r="140" spans="1:7" ht="164.25" customHeight="1" x14ac:dyDescent="0.2">
      <c r="A140" s="6">
        <v>10080320</v>
      </c>
      <c r="B140" s="7" t="s">
        <v>148</v>
      </c>
      <c r="C140" s="8"/>
      <c r="D140" s="13"/>
      <c r="E140" s="9">
        <f ca="1">IFERROR(__xludf.DUMMYFUNCTION("VLOOKUP(A140,IMPORTRANGE(""https://docs.google.com/spreadsheets/d/1A0CnpyGr8OFVIrVQpDOl87k8CW58idzvggycPxfU8h0/edit#gid=1298946326"",""Matriz Madre!B:J""),9,FALSE)"),79.9)</f>
        <v>79.900000000000006</v>
      </c>
      <c r="F140" s="10">
        <f ca="1">IFERROR(__xludf.DUMMYFUNCTION("VLOOKUP(A140,IMPORTRANGE(""https://docs.google.com/spreadsheets/d/1A0CnpyGr8OFVIrVQpDOl87k8CW58idzvggycPxfU8h0/edit#gid=1298946326"",""Hoja 6!A:G""),4,FALSE)"),110)</f>
        <v>110</v>
      </c>
      <c r="G140" s="11"/>
    </row>
    <row r="141" spans="1:7" ht="164.25" customHeight="1" x14ac:dyDescent="0.2">
      <c r="A141" s="6">
        <v>10080321</v>
      </c>
      <c r="B141" s="7" t="s">
        <v>149</v>
      </c>
      <c r="C141" s="8"/>
      <c r="D141" s="13"/>
      <c r="E141" s="9">
        <f ca="1">IFERROR(__xludf.DUMMYFUNCTION("VLOOKUP(A141,IMPORTRANGE(""https://docs.google.com/spreadsheets/d/1A0CnpyGr8OFVIrVQpDOl87k8CW58idzvggycPxfU8h0/edit#gid=1298946326"",""Matriz Madre!B:J""),9,FALSE)"),230)</f>
        <v>230</v>
      </c>
      <c r="F141" s="10">
        <f ca="1">IFERROR(__xludf.DUMMYFUNCTION("VLOOKUP(A141,IMPORTRANGE(""https://docs.google.com/spreadsheets/d/1A0CnpyGr8OFVIrVQpDOl87k8CW58idzvggycPxfU8h0/edit#gid=1298946326"",""Hoja 6!A:G""),4,FALSE)"),290)</f>
        <v>290</v>
      </c>
      <c r="G141" s="11"/>
    </row>
    <row r="142" spans="1:7" ht="164.25" customHeight="1" x14ac:dyDescent="0.2">
      <c r="A142" s="6">
        <v>10080322</v>
      </c>
      <c r="B142" s="7" t="s">
        <v>150</v>
      </c>
      <c r="C142" s="8"/>
      <c r="D142" s="13"/>
      <c r="E142" s="9">
        <f ca="1">IFERROR(__xludf.DUMMYFUNCTION("VLOOKUP(A142,IMPORTRANGE(""https://docs.google.com/spreadsheets/d/1A0CnpyGr8OFVIrVQpDOl87k8CW58idzvggycPxfU8h0/edit#gid=1298946326"",""Matriz Madre!B:J""),9,FALSE)"),100)</f>
        <v>100</v>
      </c>
      <c r="F142" s="10">
        <f ca="1">IFERROR(__xludf.DUMMYFUNCTION("VLOOKUP(A142,IMPORTRANGE(""https://docs.google.com/spreadsheets/d/1A0CnpyGr8OFVIrVQpDOl87k8CW58idzvggycPxfU8h0/edit#gid=1298946326"",""Hoja 6!A:G""),4,FALSE)"),120)</f>
        <v>120</v>
      </c>
      <c r="G142" s="11"/>
    </row>
    <row r="143" spans="1:7" ht="164.25" customHeight="1" x14ac:dyDescent="0.2">
      <c r="A143" s="6">
        <v>10080323</v>
      </c>
      <c r="B143" s="7" t="s">
        <v>151</v>
      </c>
      <c r="C143" s="8"/>
      <c r="D143" s="13"/>
      <c r="E143" s="9">
        <f ca="1">IFERROR(__xludf.DUMMYFUNCTION("VLOOKUP(A143,IMPORTRANGE(""https://docs.google.com/spreadsheets/d/1A0CnpyGr8OFVIrVQpDOl87k8CW58idzvggycPxfU8h0/edit#gid=1298946326"",""Matriz Madre!B:J""),9,FALSE)"),30)</f>
        <v>30</v>
      </c>
      <c r="F143" s="10">
        <f ca="1">IFERROR(__xludf.DUMMYFUNCTION("VLOOKUP(A143,IMPORTRANGE(""https://docs.google.com/spreadsheets/d/1A0CnpyGr8OFVIrVQpDOl87k8CW58idzvggycPxfU8h0/edit#gid=1298946326"",""Hoja 6!A:G""),4,FALSE)"),60)</f>
        <v>60</v>
      </c>
      <c r="G143" s="11"/>
    </row>
    <row r="144" spans="1:7" ht="164.25" customHeight="1" x14ac:dyDescent="0.2">
      <c r="A144" s="6">
        <v>10080324</v>
      </c>
      <c r="B144" s="7" t="s">
        <v>152</v>
      </c>
      <c r="C144" s="8"/>
      <c r="D144" s="13"/>
      <c r="E144" s="9">
        <f ca="1">IFERROR(__xludf.DUMMYFUNCTION("VLOOKUP(A144,IMPORTRANGE(""https://docs.google.com/spreadsheets/d/1A0CnpyGr8OFVIrVQpDOl87k8CW58idzvggycPxfU8h0/edit#gid=1298946326"",""Matriz Madre!B:J""),9,FALSE)"),50)</f>
        <v>50</v>
      </c>
      <c r="F144" s="10">
        <f ca="1">IFERROR(__xludf.DUMMYFUNCTION("VLOOKUP(A144,IMPORTRANGE(""https://docs.google.com/spreadsheets/d/1A0CnpyGr8OFVIrVQpDOl87k8CW58idzvggycPxfU8h0/edit#gid=1298946326"",""Hoja 6!A:G""),4,FALSE)"),80)</f>
        <v>80</v>
      </c>
      <c r="G144" s="11"/>
    </row>
    <row r="145" spans="1:7" ht="164.25" customHeight="1" x14ac:dyDescent="0.2">
      <c r="A145" s="6">
        <v>10080325</v>
      </c>
      <c r="B145" s="7" t="s">
        <v>153</v>
      </c>
      <c r="C145" s="8"/>
      <c r="D145" s="13"/>
      <c r="E145" s="9">
        <f ca="1">IFERROR(__xludf.DUMMYFUNCTION("VLOOKUP(A145,IMPORTRANGE(""https://docs.google.com/spreadsheets/d/1A0CnpyGr8OFVIrVQpDOl87k8CW58idzvggycPxfU8h0/edit#gid=1298946326"",""Matriz Madre!B:J""),9,FALSE)"),29.9)</f>
        <v>29.9</v>
      </c>
      <c r="F145" s="10">
        <f ca="1">IFERROR(__xludf.DUMMYFUNCTION("VLOOKUP(A145,IMPORTRANGE(""https://docs.google.com/spreadsheets/d/1A0CnpyGr8OFVIrVQpDOl87k8CW58idzvggycPxfU8h0/edit#gid=1298946326"",""Hoja 6!A:G""),4,FALSE)"),70)</f>
        <v>70</v>
      </c>
      <c r="G145" s="11"/>
    </row>
    <row r="146" spans="1:7" ht="164.25" customHeight="1" x14ac:dyDescent="0.2">
      <c r="A146" s="6">
        <v>10080326</v>
      </c>
      <c r="B146" s="7" t="s">
        <v>154</v>
      </c>
      <c r="C146" s="8"/>
      <c r="D146" s="13"/>
      <c r="E146" s="9">
        <f ca="1">IFERROR(__xludf.DUMMYFUNCTION("VLOOKUP(A146,IMPORTRANGE(""https://docs.google.com/spreadsheets/d/1A0CnpyGr8OFVIrVQpDOl87k8CW58idzvggycPxfU8h0/edit#gid=1298946326"",""Matriz Madre!B:J""),9,FALSE)"),64.9)</f>
        <v>64.900000000000006</v>
      </c>
      <c r="F146" s="10">
        <f ca="1">IFERROR(__xludf.DUMMYFUNCTION("VLOOKUP(A146,IMPORTRANGE(""https://docs.google.com/spreadsheets/d/1A0CnpyGr8OFVIrVQpDOl87k8CW58idzvggycPxfU8h0/edit#gid=1298946326"",""Hoja 6!A:G""),4,FALSE)"),90)</f>
        <v>90</v>
      </c>
      <c r="G146" s="11"/>
    </row>
    <row r="147" spans="1:7" ht="164.25" customHeight="1" x14ac:dyDescent="0.2">
      <c r="A147" s="6">
        <v>20190003</v>
      </c>
      <c r="B147" s="7" t="s">
        <v>155</v>
      </c>
      <c r="C147" s="8"/>
      <c r="D147" s="13"/>
      <c r="E147" s="9">
        <f ca="1">IFERROR(__xludf.DUMMYFUNCTION("VLOOKUP(A147,IMPORTRANGE(""https://docs.google.com/spreadsheets/d/1A0CnpyGr8OFVIrVQpDOl87k8CW58idzvggycPxfU8h0/edit#gid=1298946326"",""Matriz Madre!B:J""),9,FALSE)"),80)</f>
        <v>80</v>
      </c>
      <c r="F147" s="10">
        <f ca="1">IFERROR(__xludf.DUMMYFUNCTION("VLOOKUP(A147,IMPORTRANGE(""https://docs.google.com/spreadsheets/d/1A0CnpyGr8OFVIrVQpDOl87k8CW58idzvggycPxfU8h0/edit#gid=1298946326"",""Hoja 6!A:G""),4,FALSE)"),110)</f>
        <v>110</v>
      </c>
      <c r="G147" s="11"/>
    </row>
    <row r="148" spans="1:7" ht="164.25" customHeight="1" x14ac:dyDescent="0.2">
      <c r="A148" s="6">
        <v>10080327</v>
      </c>
      <c r="B148" s="7" t="s">
        <v>156</v>
      </c>
      <c r="C148" s="8"/>
      <c r="D148" s="13"/>
      <c r="E148" s="9">
        <f ca="1">IFERROR(__xludf.DUMMYFUNCTION("VLOOKUP(A148,IMPORTRANGE(""https://docs.google.com/spreadsheets/d/1A0CnpyGr8OFVIrVQpDOl87k8CW58idzvggycPxfU8h0/edit#gid=1298946326"",""Matriz Madre!B:J""),9,FALSE)"),140)</f>
        <v>140</v>
      </c>
      <c r="F148" s="10">
        <f ca="1">IFERROR(__xludf.DUMMYFUNCTION("VLOOKUP(A148,IMPORTRANGE(""https://docs.google.com/spreadsheets/d/1A0CnpyGr8OFVIrVQpDOl87k8CW58idzvggycPxfU8h0/edit#gid=1298946326"",""Hoja 6!A:G""),4,FALSE)"),180)</f>
        <v>180</v>
      </c>
      <c r="G148" s="11"/>
    </row>
    <row r="149" spans="1:7" ht="164.25" customHeight="1" x14ac:dyDescent="0.2">
      <c r="A149" s="6">
        <v>10080328</v>
      </c>
      <c r="B149" s="7" t="s">
        <v>157</v>
      </c>
      <c r="C149" s="8"/>
      <c r="D149" s="13"/>
      <c r="E149" s="9">
        <f ca="1">IFERROR(__xludf.DUMMYFUNCTION("VLOOKUP(A149,IMPORTRANGE(""https://docs.google.com/spreadsheets/d/1A0CnpyGr8OFVIrVQpDOl87k8CW58idzvggycPxfU8h0/edit#gid=1298946326"",""Matriz Madre!B:J""),9,FALSE)"),70)</f>
        <v>70</v>
      </c>
      <c r="F149" s="10">
        <f ca="1">IFERROR(__xludf.DUMMYFUNCTION("VLOOKUP(A149,IMPORTRANGE(""https://docs.google.com/spreadsheets/d/1A0CnpyGr8OFVIrVQpDOl87k8CW58idzvggycPxfU8h0/edit#gid=1298946326"",""Hoja 6!A:G""),4,FALSE)"),120)</f>
        <v>120</v>
      </c>
      <c r="G149" s="11"/>
    </row>
    <row r="150" spans="1:7" ht="164.25" customHeight="1" x14ac:dyDescent="0.2">
      <c r="A150" s="6">
        <v>10080329</v>
      </c>
      <c r="B150" s="7" t="s">
        <v>158</v>
      </c>
      <c r="C150" s="8"/>
      <c r="D150" s="13"/>
      <c r="E150" s="9">
        <f ca="1">IFERROR(__xludf.DUMMYFUNCTION("VLOOKUP(A150,IMPORTRANGE(""https://docs.google.com/spreadsheets/d/1A0CnpyGr8OFVIrVQpDOl87k8CW58idzvggycPxfU8h0/edit#gid=1298946326"",""Matriz Madre!B:J""),9,FALSE)"),50)</f>
        <v>50</v>
      </c>
      <c r="F150" s="10">
        <f ca="1">IFERROR(__xludf.DUMMYFUNCTION("VLOOKUP(A150,IMPORTRANGE(""https://docs.google.com/spreadsheets/d/1A0CnpyGr8OFVIrVQpDOl87k8CW58idzvggycPxfU8h0/edit#gid=1298946326"",""Hoja 6!A:G""),4,FALSE)"),70)</f>
        <v>70</v>
      </c>
      <c r="G150" s="11"/>
    </row>
    <row r="151" spans="1:7" ht="164.25" customHeight="1" x14ac:dyDescent="0.2">
      <c r="A151" s="6">
        <v>10080330</v>
      </c>
      <c r="B151" s="7" t="s">
        <v>159</v>
      </c>
      <c r="C151" s="8"/>
      <c r="D151" s="13"/>
      <c r="E151" s="9">
        <f ca="1">IFERROR(__xludf.DUMMYFUNCTION("VLOOKUP(A151,IMPORTRANGE(""https://docs.google.com/spreadsheets/d/1A0CnpyGr8OFVIrVQpDOl87k8CW58idzvggycPxfU8h0/edit#gid=1298946326"",""Matriz Madre!B:J""),9,FALSE)"),70)</f>
        <v>70</v>
      </c>
      <c r="F151" s="10">
        <f ca="1">IFERROR(__xludf.DUMMYFUNCTION("VLOOKUP(A151,IMPORTRANGE(""https://docs.google.com/spreadsheets/d/1A0CnpyGr8OFVIrVQpDOl87k8CW58idzvggycPxfU8h0/edit#gid=1298946326"",""Hoja 6!A:G""),4,FALSE)"),90)</f>
        <v>90</v>
      </c>
      <c r="G151" s="11"/>
    </row>
    <row r="152" spans="1:7" ht="164.25" customHeight="1" x14ac:dyDescent="0.2">
      <c r="A152" s="6">
        <v>10080331</v>
      </c>
      <c r="B152" s="7" t="s">
        <v>160</v>
      </c>
      <c r="C152" s="8"/>
      <c r="D152" s="13"/>
      <c r="E152" s="9">
        <f ca="1">IFERROR(__xludf.DUMMYFUNCTION("VLOOKUP(A152,IMPORTRANGE(""https://docs.google.com/spreadsheets/d/1A0CnpyGr8OFVIrVQpDOl87k8CW58idzvggycPxfU8h0/edit#gid=1298946326"",""Matriz Madre!B:J""),9,FALSE)"),60)</f>
        <v>60</v>
      </c>
      <c r="F152" s="10">
        <f ca="1">IFERROR(__xludf.DUMMYFUNCTION("VLOOKUP(A152,IMPORTRANGE(""https://docs.google.com/spreadsheets/d/1A0CnpyGr8OFVIrVQpDOl87k8CW58idzvggycPxfU8h0/edit#gid=1298946326"",""Hoja 6!A:G""),4,FALSE)"),80)</f>
        <v>80</v>
      </c>
      <c r="G152" s="11"/>
    </row>
    <row r="153" spans="1:7" ht="164.25" customHeight="1" x14ac:dyDescent="0.2">
      <c r="A153" s="6">
        <v>10080332</v>
      </c>
      <c r="B153" s="7" t="s">
        <v>161</v>
      </c>
      <c r="C153" s="8"/>
      <c r="D153" s="13"/>
      <c r="E153" s="9">
        <f ca="1">IFERROR(__xludf.DUMMYFUNCTION("VLOOKUP(A153,IMPORTRANGE(""https://docs.google.com/spreadsheets/d/1A0CnpyGr8OFVIrVQpDOl87k8CW58idzvggycPxfU8h0/edit#gid=1298946326"",""Matriz Madre!B:J""),9,FALSE)"),60)</f>
        <v>60</v>
      </c>
      <c r="F153" s="10">
        <f ca="1">IFERROR(__xludf.DUMMYFUNCTION("VLOOKUP(A153,IMPORTRANGE(""https://docs.google.com/spreadsheets/d/1A0CnpyGr8OFVIrVQpDOl87k8CW58idzvggycPxfU8h0/edit#gid=1298946326"",""Hoja 6!A:G""),4,FALSE)"),80)</f>
        <v>80</v>
      </c>
      <c r="G153" s="11"/>
    </row>
    <row r="154" spans="1:7" ht="164.25" customHeight="1" x14ac:dyDescent="0.2">
      <c r="A154" s="6">
        <v>10080333</v>
      </c>
      <c r="B154" s="7" t="s">
        <v>162</v>
      </c>
      <c r="C154" s="8"/>
      <c r="D154" s="13"/>
      <c r="E154" s="9">
        <f ca="1">IFERROR(__xludf.DUMMYFUNCTION("VLOOKUP(A154,IMPORTRANGE(""https://docs.google.com/spreadsheets/d/1A0CnpyGr8OFVIrVQpDOl87k8CW58idzvggycPxfU8h0/edit#gid=1298946326"",""Matriz Madre!B:J""),9,FALSE)"),90)</f>
        <v>90</v>
      </c>
      <c r="F154" s="10">
        <f ca="1">IFERROR(__xludf.DUMMYFUNCTION("VLOOKUP(A154,IMPORTRANGE(""https://docs.google.com/spreadsheets/d/1A0CnpyGr8OFVIrVQpDOl87k8CW58idzvggycPxfU8h0/edit#gid=1298946326"",""Hoja 6!A:G""),4,FALSE)"),120)</f>
        <v>120</v>
      </c>
      <c r="G154" s="11"/>
    </row>
    <row r="155" spans="1:7" ht="164.25" customHeight="1" x14ac:dyDescent="0.2">
      <c r="A155" s="6">
        <v>10080334</v>
      </c>
      <c r="B155" s="7" t="s">
        <v>163</v>
      </c>
      <c r="C155" s="8"/>
      <c r="D155" s="13"/>
      <c r="E155" s="9">
        <f ca="1">IFERROR(__xludf.DUMMYFUNCTION("VLOOKUP(A155,IMPORTRANGE(""https://docs.google.com/spreadsheets/d/1A0CnpyGr8OFVIrVQpDOl87k8CW58idzvggycPxfU8h0/edit#gid=1298946326"",""Matriz Madre!B:J""),9,FALSE)"),129.9)</f>
        <v>129.9</v>
      </c>
      <c r="F155" s="10">
        <f ca="1">IFERROR(__xludf.DUMMYFUNCTION("VLOOKUP(A155,IMPORTRANGE(""https://docs.google.com/spreadsheets/d/1A0CnpyGr8OFVIrVQpDOl87k8CW58idzvggycPxfU8h0/edit#gid=1298946326"",""Hoja 6!A:G""),4,FALSE)"),180)</f>
        <v>180</v>
      </c>
      <c r="G155" s="11"/>
    </row>
    <row r="156" spans="1:7" ht="164.25" hidden="1" customHeight="1" x14ac:dyDescent="0.2">
      <c r="A156" s="6">
        <v>10080335</v>
      </c>
      <c r="B156" s="7" t="s">
        <v>164</v>
      </c>
      <c r="C156" s="8"/>
      <c r="D156" s="13"/>
      <c r="E156" s="9">
        <f ca="1">IFERROR(__xludf.DUMMYFUNCTION("VLOOKUP(A156,IMPORTRANGE(""https://docs.google.com/spreadsheets/d/1A0CnpyGr8OFVIrVQpDOl87k8CW58idzvggycPxfU8h0/edit#gid=1298946326"",""Matriz Madre!B:J""),9,FALSE)"),120)</f>
        <v>120</v>
      </c>
      <c r="F156" s="10">
        <f ca="1">IFERROR(__xludf.DUMMYFUNCTION("VLOOKUP(A156,IMPORTRANGE(""https://docs.google.com/spreadsheets/d/1A0CnpyGr8OFVIrVQpDOl87k8CW58idzvggycPxfU8h0/edit#gid=1298946326"",""Hoja 6!A:G""),4,FALSE)"),150)</f>
        <v>150</v>
      </c>
      <c r="G156" s="11"/>
    </row>
    <row r="157" spans="1:7" ht="164.25" customHeight="1" x14ac:dyDescent="0.2">
      <c r="A157" s="6">
        <v>10080336</v>
      </c>
      <c r="B157" s="7" t="s">
        <v>165</v>
      </c>
      <c r="C157" s="83"/>
      <c r="D157" s="81"/>
      <c r="E157" s="9">
        <f ca="1">IFERROR(__xludf.DUMMYFUNCTION("VLOOKUP(A157,IMPORTRANGE(""https://docs.google.com/spreadsheets/d/1A0CnpyGr8OFVIrVQpDOl87k8CW58idzvggycPxfU8h0/edit#gid=1298946326"",""Matriz Madre!B:J""),9,FALSE)"),60)</f>
        <v>60</v>
      </c>
      <c r="F157" s="10">
        <f ca="1">IFERROR(__xludf.DUMMYFUNCTION("VLOOKUP(A157,IMPORTRANGE(""https://docs.google.com/spreadsheets/d/1A0CnpyGr8OFVIrVQpDOl87k8CW58idzvggycPxfU8h0/edit#gid=1298946326"",""Hoja 6!A:G""),4,FALSE)"),80)</f>
        <v>80</v>
      </c>
      <c r="G157" s="11"/>
    </row>
    <row r="158" spans="1:7" ht="164.25" customHeight="1" x14ac:dyDescent="0.2">
      <c r="A158" s="6">
        <v>10080337</v>
      </c>
      <c r="B158" s="7" t="s">
        <v>166</v>
      </c>
      <c r="C158" s="83"/>
      <c r="D158" s="81"/>
      <c r="E158" s="9">
        <f ca="1">IFERROR(__xludf.DUMMYFUNCTION("VLOOKUP(A158,IMPORTRANGE(""https://docs.google.com/spreadsheets/d/1A0CnpyGr8OFVIrVQpDOl87k8CW58idzvggycPxfU8h0/edit#gid=1298946326"",""Matriz Madre!B:J""),9,FALSE)"),34.9)</f>
        <v>34.9</v>
      </c>
      <c r="F158" s="10">
        <f ca="1">IFERROR(__xludf.DUMMYFUNCTION("VLOOKUP(A158,IMPORTRANGE(""https://docs.google.com/spreadsheets/d/1A0CnpyGr8OFVIrVQpDOl87k8CW58idzvggycPxfU8h0/edit#gid=1298946326"",""Hoja 6!A:G""),4,FALSE)"),60)</f>
        <v>60</v>
      </c>
      <c r="G158" s="11"/>
    </row>
    <row r="159" spans="1:7" ht="164.25" customHeight="1" x14ac:dyDescent="0.2">
      <c r="A159" s="6">
        <v>10080338</v>
      </c>
      <c r="B159" s="7" t="s">
        <v>167</v>
      </c>
      <c r="C159" s="83"/>
      <c r="D159" s="81"/>
      <c r="E159" s="9">
        <f ca="1">IFERROR(__xludf.DUMMYFUNCTION("VLOOKUP(A159,IMPORTRANGE(""https://docs.google.com/spreadsheets/d/1A0CnpyGr8OFVIrVQpDOl87k8CW58idzvggycPxfU8h0/edit#gid=1298946326"",""Matriz Madre!B:J""),9,FALSE)"),50)</f>
        <v>50</v>
      </c>
      <c r="F159" s="10">
        <f ca="1">IFERROR(__xludf.DUMMYFUNCTION("VLOOKUP(A159,IMPORTRANGE(""https://docs.google.com/spreadsheets/d/1A0CnpyGr8OFVIrVQpDOl87k8CW58idzvggycPxfU8h0/edit#gid=1298946326"",""Hoja 6!A:G""),4,FALSE)"),80)</f>
        <v>80</v>
      </c>
      <c r="G159" s="11"/>
    </row>
    <row r="160" spans="1:7" ht="164.25" customHeight="1" x14ac:dyDescent="0.2">
      <c r="A160" s="6">
        <v>10080339</v>
      </c>
      <c r="B160" s="7" t="s">
        <v>168</v>
      </c>
      <c r="C160" s="83"/>
      <c r="D160" s="81"/>
      <c r="E160" s="9">
        <f ca="1">IFERROR(__xludf.DUMMYFUNCTION("VLOOKUP(A160,IMPORTRANGE(""https://docs.google.com/spreadsheets/d/1A0CnpyGr8OFVIrVQpDOl87k8CW58idzvggycPxfU8h0/edit#gid=1298946326"",""Matriz Madre!B:J""),9,FALSE)"),60)</f>
        <v>60</v>
      </c>
      <c r="F160" s="10">
        <f ca="1">IFERROR(__xludf.DUMMYFUNCTION("VLOOKUP(A160,IMPORTRANGE(""https://docs.google.com/spreadsheets/d/1A0CnpyGr8OFVIrVQpDOl87k8CW58idzvggycPxfU8h0/edit#gid=1298946326"",""Hoja 6!A:G""),4,FALSE)"),80)</f>
        <v>80</v>
      </c>
      <c r="G160" s="11"/>
    </row>
    <row r="161" spans="1:7" ht="164.25" customHeight="1" x14ac:dyDescent="0.2">
      <c r="A161" s="6">
        <v>10080340</v>
      </c>
      <c r="B161" s="7" t="s">
        <v>169</v>
      </c>
      <c r="C161" s="8"/>
      <c r="D161" s="13"/>
      <c r="E161" s="9">
        <f ca="1">IFERROR(__xludf.DUMMYFUNCTION("VLOOKUP(A161,IMPORTRANGE(""https://docs.google.com/spreadsheets/d/1A0CnpyGr8OFVIrVQpDOl87k8CW58idzvggycPxfU8h0/edit#gid=1298946326"",""Matriz Madre!B:J""),9,FALSE)"),29.9)</f>
        <v>29.9</v>
      </c>
      <c r="F161" s="10">
        <f ca="1">IFERROR(__xludf.DUMMYFUNCTION("VLOOKUP(A161,IMPORTRANGE(""https://docs.google.com/spreadsheets/d/1A0CnpyGr8OFVIrVQpDOl87k8CW58idzvggycPxfU8h0/edit#gid=1298946326"",""Hoja 6!A:G""),4,FALSE)"),70)</f>
        <v>70</v>
      </c>
      <c r="G161" s="11"/>
    </row>
    <row r="162" spans="1:7" ht="164.25" customHeight="1" x14ac:dyDescent="0.2">
      <c r="A162" s="6">
        <v>10080341</v>
      </c>
      <c r="B162" s="7" t="s">
        <v>170</v>
      </c>
      <c r="C162" s="83"/>
      <c r="D162" s="81"/>
      <c r="E162" s="9">
        <f ca="1">IFERROR(__xludf.DUMMYFUNCTION("VLOOKUP(A162,IMPORTRANGE(""https://docs.google.com/spreadsheets/d/1A0CnpyGr8OFVIrVQpDOl87k8CW58idzvggycPxfU8h0/edit#gid=1298946326"",""Matriz Madre!B:J""),9,FALSE)"),50)</f>
        <v>50</v>
      </c>
      <c r="F162" s="10">
        <f ca="1">IFERROR(__xludf.DUMMYFUNCTION("VLOOKUP(A162,IMPORTRANGE(""https://docs.google.com/spreadsheets/d/1A0CnpyGr8OFVIrVQpDOl87k8CW58idzvggycPxfU8h0/edit#gid=1298946326"",""Hoja 6!A:G""),4,FALSE)"),70)</f>
        <v>70</v>
      </c>
      <c r="G162" s="11"/>
    </row>
    <row r="163" spans="1:7" ht="164.25" customHeight="1" x14ac:dyDescent="0.2">
      <c r="A163" s="6">
        <v>10080342</v>
      </c>
      <c r="B163" s="7" t="s">
        <v>171</v>
      </c>
      <c r="C163" s="8"/>
      <c r="D163" s="13"/>
      <c r="E163" s="9">
        <f ca="1">IFERROR(__xludf.DUMMYFUNCTION("VLOOKUP(A163,IMPORTRANGE(""https://docs.google.com/spreadsheets/d/1A0CnpyGr8OFVIrVQpDOl87k8CW58idzvggycPxfU8h0/edit#gid=1298946326"",""Matriz Madre!B:J""),9,FALSE)"),60)</f>
        <v>60</v>
      </c>
      <c r="F163" s="10">
        <f ca="1">IFERROR(__xludf.DUMMYFUNCTION("VLOOKUP(A163,IMPORTRANGE(""https://docs.google.com/spreadsheets/d/1A0CnpyGr8OFVIrVQpDOl87k8CW58idzvggycPxfU8h0/edit#gid=1298946326"",""Hoja 6!A:G""),4,FALSE)"),80)</f>
        <v>80</v>
      </c>
      <c r="G163" s="11"/>
    </row>
    <row r="164" spans="1:7" ht="164.25" customHeight="1" x14ac:dyDescent="0.2">
      <c r="A164" s="6">
        <v>10080343</v>
      </c>
      <c r="B164" s="7" t="s">
        <v>172</v>
      </c>
      <c r="C164" s="8"/>
      <c r="D164" s="13"/>
      <c r="E164" s="9">
        <f ca="1">IFERROR(__xludf.DUMMYFUNCTION("VLOOKUP(A164,IMPORTRANGE(""https://docs.google.com/spreadsheets/d/1A0CnpyGr8OFVIrVQpDOl87k8CW58idzvggycPxfU8h0/edit#gid=1298946326"",""Matriz Madre!B:J""),9,FALSE)"),80)</f>
        <v>80</v>
      </c>
      <c r="F164" s="10">
        <f ca="1">IFERROR(__xludf.DUMMYFUNCTION("VLOOKUP(A164,IMPORTRANGE(""https://docs.google.com/spreadsheets/d/1A0CnpyGr8OFVIrVQpDOl87k8CW58idzvggycPxfU8h0/edit#gid=1298946326"",""Hoja 6!A:G""),4,FALSE)"),120)</f>
        <v>120</v>
      </c>
      <c r="G164" s="11"/>
    </row>
    <row r="165" spans="1:7" ht="164.25" customHeight="1" x14ac:dyDescent="0.2">
      <c r="A165" s="6">
        <v>10080344</v>
      </c>
      <c r="B165" s="7" t="s">
        <v>173</v>
      </c>
      <c r="C165" s="8"/>
      <c r="D165" s="13"/>
      <c r="E165" s="9">
        <f ca="1">IFERROR(__xludf.DUMMYFUNCTION("VLOOKUP(A165,IMPORTRANGE(""https://docs.google.com/spreadsheets/d/1A0CnpyGr8OFVIrVQpDOl87k8CW58idzvggycPxfU8h0/edit#gid=1298946326"",""Matriz Madre!B:J""),9,FALSE)"),160)</f>
        <v>160</v>
      </c>
      <c r="F165" s="10">
        <f ca="1">IFERROR(__xludf.DUMMYFUNCTION("VLOOKUP(A165,IMPORTRANGE(""https://docs.google.com/spreadsheets/d/1A0CnpyGr8OFVIrVQpDOl87k8CW58idzvggycPxfU8h0/edit#gid=1298946326"",""Hoja 6!A:G""),4,FALSE)"),210)</f>
        <v>210</v>
      </c>
      <c r="G165" s="11"/>
    </row>
    <row r="166" spans="1:7" ht="164.25" customHeight="1" x14ac:dyDescent="0.2">
      <c r="A166" s="6">
        <v>10080345</v>
      </c>
      <c r="B166" s="7" t="s">
        <v>174</v>
      </c>
      <c r="C166" s="8"/>
      <c r="D166" s="13"/>
      <c r="E166" s="9">
        <f ca="1">IFERROR(__xludf.DUMMYFUNCTION("VLOOKUP(A166,IMPORTRANGE(""https://docs.google.com/spreadsheets/d/1A0CnpyGr8OFVIrVQpDOl87k8CW58idzvggycPxfU8h0/edit#gid=1298946326"",""Matriz Madre!B:J""),9,FALSE)"),90)</f>
        <v>90</v>
      </c>
      <c r="F166" s="10">
        <f ca="1">IFERROR(__xludf.DUMMYFUNCTION("VLOOKUP(A166,IMPORTRANGE(""https://docs.google.com/spreadsheets/d/1A0CnpyGr8OFVIrVQpDOl87k8CW58idzvggycPxfU8h0/edit#gid=1298946326"",""Hoja 6!A:G""),4,FALSE)"),120)</f>
        <v>120</v>
      </c>
      <c r="G166" s="11"/>
    </row>
    <row r="167" spans="1:7" ht="164.25" customHeight="1" x14ac:dyDescent="0.2">
      <c r="A167" s="6">
        <v>10080346</v>
      </c>
      <c r="B167" s="7" t="s">
        <v>175</v>
      </c>
      <c r="C167" s="8"/>
      <c r="D167" s="13"/>
      <c r="E167" s="9">
        <f ca="1">IFERROR(__xludf.DUMMYFUNCTION("VLOOKUP(A167,IMPORTRANGE(""https://docs.google.com/spreadsheets/d/1A0CnpyGr8OFVIrVQpDOl87k8CW58idzvggycPxfU8h0/edit#gid=1298946326"",""Matriz Madre!B:J""),9,FALSE)"),89.9)</f>
        <v>89.9</v>
      </c>
      <c r="F167" s="10">
        <f ca="1">IFERROR(__xludf.DUMMYFUNCTION("VLOOKUP(A167,IMPORTRANGE(""https://docs.google.com/spreadsheets/d/1A0CnpyGr8OFVIrVQpDOl87k8CW58idzvggycPxfU8h0/edit#gid=1298946326"",""Hoja 6!A:G""),4,FALSE)"),110)</f>
        <v>110</v>
      </c>
      <c r="G167" s="11"/>
    </row>
    <row r="168" spans="1:7" ht="164.25" customHeight="1" x14ac:dyDescent="0.2">
      <c r="A168" s="6">
        <v>10080347</v>
      </c>
      <c r="B168" s="7" t="s">
        <v>176</v>
      </c>
      <c r="C168" s="8"/>
      <c r="D168" s="13"/>
      <c r="E168" s="9">
        <f ca="1">IFERROR(__xludf.DUMMYFUNCTION("VLOOKUP(A168,IMPORTRANGE(""https://docs.google.com/spreadsheets/d/1A0CnpyGr8OFVIrVQpDOl87k8CW58idzvggycPxfU8h0/edit#gid=1298946326"",""Matriz Madre!B:J""),9,FALSE)"),60)</f>
        <v>60</v>
      </c>
      <c r="F168" s="10">
        <f ca="1">IFERROR(__xludf.DUMMYFUNCTION("VLOOKUP(A168,IMPORTRANGE(""https://docs.google.com/spreadsheets/d/1A0CnpyGr8OFVIrVQpDOl87k8CW58idzvggycPxfU8h0/edit#gid=1298946326"",""Hoja 6!A:G""),4,FALSE)"),80)</f>
        <v>80</v>
      </c>
      <c r="G168" s="11"/>
    </row>
    <row r="169" spans="1:7" ht="164.25" customHeight="1" x14ac:dyDescent="0.2">
      <c r="A169" s="6">
        <v>10080348</v>
      </c>
      <c r="B169" s="7" t="s">
        <v>177</v>
      </c>
      <c r="C169" s="8"/>
      <c r="D169" s="13"/>
      <c r="E169" s="9">
        <f ca="1">IFERROR(__xludf.DUMMYFUNCTION("VLOOKUP(A169,IMPORTRANGE(""https://docs.google.com/spreadsheets/d/1A0CnpyGr8OFVIrVQpDOl87k8CW58idzvggycPxfU8h0/edit#gid=1298946326"",""Matriz Madre!B:J""),9,FALSE)"),110)</f>
        <v>110</v>
      </c>
      <c r="F169" s="10">
        <f ca="1">IFERROR(__xludf.DUMMYFUNCTION("VLOOKUP(A169,IMPORTRANGE(""https://docs.google.com/spreadsheets/d/1A0CnpyGr8OFVIrVQpDOl87k8CW58idzvggycPxfU8h0/edit#gid=1298946326"",""Hoja 6!A:G""),4,FALSE)"),140)</f>
        <v>140</v>
      </c>
      <c r="G169" s="11"/>
    </row>
    <row r="170" spans="1:7" ht="164.25" customHeight="1" x14ac:dyDescent="0.2">
      <c r="A170" s="6">
        <v>10080349</v>
      </c>
      <c r="B170" s="7" t="s">
        <v>178</v>
      </c>
      <c r="C170" s="8"/>
      <c r="D170" s="13"/>
      <c r="E170" s="9">
        <f ca="1">IFERROR(__xludf.DUMMYFUNCTION("VLOOKUP(A170,IMPORTRANGE(""https://docs.google.com/spreadsheets/d/1A0CnpyGr8OFVIrVQpDOl87k8CW58idzvggycPxfU8h0/edit#gid=1298946326"",""Matriz Madre!B:J""),9,FALSE)"),90)</f>
        <v>90</v>
      </c>
      <c r="F170" s="10">
        <f ca="1">IFERROR(__xludf.DUMMYFUNCTION("VLOOKUP(A170,IMPORTRANGE(""https://docs.google.com/spreadsheets/d/1A0CnpyGr8OFVIrVQpDOl87k8CW58idzvggycPxfU8h0/edit#gid=1298946326"",""Hoja 6!A:G""),4,FALSE)"),110)</f>
        <v>110</v>
      </c>
      <c r="G170" s="11"/>
    </row>
    <row r="171" spans="1:7" ht="164.25" customHeight="1" x14ac:dyDescent="0.2">
      <c r="A171" s="6">
        <v>10080350</v>
      </c>
      <c r="B171" s="7" t="s">
        <v>179</v>
      </c>
      <c r="C171" s="8"/>
      <c r="D171" s="13"/>
      <c r="E171" s="9">
        <f ca="1">IFERROR(__xludf.DUMMYFUNCTION("VLOOKUP(A171,IMPORTRANGE(""https://docs.google.com/spreadsheets/d/1A0CnpyGr8OFVIrVQpDOl87k8CW58idzvggycPxfU8h0/edit#gid=1298946326"",""Matriz Madre!B:J""),9,FALSE)"),80)</f>
        <v>80</v>
      </c>
      <c r="F171" s="10">
        <f ca="1">IFERROR(__xludf.DUMMYFUNCTION("VLOOKUP(A171,IMPORTRANGE(""https://docs.google.com/spreadsheets/d/1A0CnpyGr8OFVIrVQpDOl87k8CW58idzvggycPxfU8h0/edit#gid=1298946326"",""Hoja 6!A:G""),4,FALSE)"),100)</f>
        <v>100</v>
      </c>
      <c r="G171" s="11"/>
    </row>
    <row r="172" spans="1:7" ht="164.25" customHeight="1" x14ac:dyDescent="0.2">
      <c r="A172" s="6">
        <v>10080351</v>
      </c>
      <c r="B172" s="7" t="s">
        <v>180</v>
      </c>
      <c r="C172" s="83"/>
      <c r="D172" s="81"/>
      <c r="E172" s="9">
        <f ca="1">IFERROR(__xludf.DUMMYFUNCTION("VLOOKUP(A172,IMPORTRANGE(""https://docs.google.com/spreadsheets/d/1A0CnpyGr8OFVIrVQpDOl87k8CW58idzvggycPxfU8h0/edit#gid=1298946326"",""Matriz Madre!B:J""),9,FALSE)"),120)</f>
        <v>120</v>
      </c>
      <c r="F172" s="10">
        <f ca="1">IFERROR(__xludf.DUMMYFUNCTION("VLOOKUP(A172,IMPORTRANGE(""https://docs.google.com/spreadsheets/d/1A0CnpyGr8OFVIrVQpDOl87k8CW58idzvggycPxfU8h0/edit#gid=1298946326"",""Hoja 6!A:G""),4,FALSE)"),140)</f>
        <v>140</v>
      </c>
      <c r="G172" s="11"/>
    </row>
    <row r="173" spans="1:7" ht="164.25" customHeight="1" x14ac:dyDescent="0.2">
      <c r="A173" s="6">
        <v>10080352</v>
      </c>
      <c r="B173" s="7" t="s">
        <v>181</v>
      </c>
      <c r="C173" s="8"/>
      <c r="D173" s="13"/>
      <c r="E173" s="9">
        <f ca="1">IFERROR(__xludf.DUMMYFUNCTION("VLOOKUP(A173,IMPORTRANGE(""https://docs.google.com/spreadsheets/d/1A0CnpyGr8OFVIrVQpDOl87k8CW58idzvggycPxfU8h0/edit#gid=1298946326"",""Matriz Madre!B:J""),9,FALSE)"),130)</f>
        <v>130</v>
      </c>
      <c r="F173" s="10">
        <f ca="1">IFERROR(__xludf.DUMMYFUNCTION("VLOOKUP(A173,IMPORTRANGE(""https://docs.google.com/spreadsheets/d/1A0CnpyGr8OFVIrVQpDOl87k8CW58idzvggycPxfU8h0/edit#gid=1298946326"",""Hoja 6!A:G""),4,FALSE)"),160)</f>
        <v>160</v>
      </c>
      <c r="G173" s="11"/>
    </row>
    <row r="174" spans="1:7" ht="164.25" customHeight="1" x14ac:dyDescent="0.2">
      <c r="A174" s="6">
        <v>10080353</v>
      </c>
      <c r="B174" s="7" t="s">
        <v>182</v>
      </c>
      <c r="C174" s="8"/>
      <c r="D174" s="13"/>
      <c r="E174" s="9">
        <f ca="1">IFERROR(__xludf.DUMMYFUNCTION("VLOOKUP(A174,IMPORTRANGE(""https://docs.google.com/spreadsheets/d/1A0CnpyGr8OFVIrVQpDOl87k8CW58idzvggycPxfU8h0/edit#gid=1298946326"",""Matriz Madre!B:J""),9,FALSE)"),19.9)</f>
        <v>19.899999999999999</v>
      </c>
      <c r="F174" s="10">
        <f ca="1">IFERROR(__xludf.DUMMYFUNCTION("VLOOKUP(A174,IMPORTRANGE(""https://docs.google.com/spreadsheets/d/1A0CnpyGr8OFVIrVQpDOl87k8CW58idzvggycPxfU8h0/edit#gid=1298946326"",""Hoja 6!A:G""),4,FALSE)"),50)</f>
        <v>50</v>
      </c>
      <c r="G174" s="11"/>
    </row>
    <row r="175" spans="1:7" ht="164.25" customHeight="1" x14ac:dyDescent="0.2">
      <c r="A175" s="6">
        <v>10080354</v>
      </c>
      <c r="B175" s="7" t="s">
        <v>183</v>
      </c>
      <c r="C175" s="8"/>
      <c r="D175" s="13"/>
      <c r="E175" s="9">
        <f ca="1">IFERROR(__xludf.DUMMYFUNCTION("VLOOKUP(A175,IMPORTRANGE(""https://docs.google.com/spreadsheets/d/1A0CnpyGr8OFVIrVQpDOl87k8CW58idzvggycPxfU8h0/edit#gid=1298946326"",""Matriz Madre!B:J""),9,FALSE)"),50)</f>
        <v>50</v>
      </c>
      <c r="F175" s="10">
        <f ca="1">IFERROR(__xludf.DUMMYFUNCTION("VLOOKUP(A175,IMPORTRANGE(""https://docs.google.com/spreadsheets/d/1A0CnpyGr8OFVIrVQpDOl87k8CW58idzvggycPxfU8h0/edit#gid=1298946326"",""Hoja 6!A:G""),4,FALSE)"),70)</f>
        <v>70</v>
      </c>
      <c r="G175" s="11"/>
    </row>
    <row r="176" spans="1:7" ht="164.25" customHeight="1" x14ac:dyDescent="0.2">
      <c r="A176" s="6">
        <v>10080355</v>
      </c>
      <c r="B176" s="7" t="s">
        <v>184</v>
      </c>
      <c r="C176" s="83"/>
      <c r="D176" s="81"/>
      <c r="E176" s="9" t="str">
        <f ca="1">IFERROR(__xludf.DUMMYFUNCTION("VLOOKUP(A176,IMPORTRANGE(""https://docs.google.com/spreadsheets/d/1A0CnpyGr8OFVIrVQpDOl87k8CW58idzvggycPxfU8h0/edit#gid=1298946326"",""Matriz Madre!B:J""),9,FALSE)"),"#N/A")</f>
        <v>#N/A</v>
      </c>
      <c r="F176" s="10">
        <f ca="1">IFERROR(__xludf.DUMMYFUNCTION("VLOOKUP(A176,IMPORTRANGE(""https://docs.google.com/spreadsheets/d/1A0CnpyGr8OFVIrVQpDOl87k8CW58idzvggycPxfU8h0/edit#gid=1298946326"",""Hoja 6!A:G""),4,FALSE)"),80)</f>
        <v>80</v>
      </c>
      <c r="G176" s="11"/>
    </row>
    <row r="177" spans="1:7" ht="164.25" customHeight="1" x14ac:dyDescent="0.2">
      <c r="A177" s="6">
        <v>10080313</v>
      </c>
      <c r="B177" s="7" t="s">
        <v>185</v>
      </c>
      <c r="C177" s="83"/>
      <c r="D177" s="81"/>
      <c r="E177" s="9">
        <f ca="1">IFERROR(__xludf.DUMMYFUNCTION("VLOOKUP(A177,IMPORTRANGE(""https://docs.google.com/spreadsheets/d/1A0CnpyGr8OFVIrVQpDOl87k8CW58idzvggycPxfU8h0/edit#gid=1298946326"",""Matriz Madre!B:J""),9,FALSE)"),100)</f>
        <v>100</v>
      </c>
      <c r="F177" s="10">
        <f ca="1">IFERROR(__xludf.DUMMYFUNCTION("VLOOKUP(A177,IMPORTRANGE(""https://docs.google.com/spreadsheets/d/1A0CnpyGr8OFVIrVQpDOl87k8CW58idzvggycPxfU8h0/edit#gid=1298946326"",""Hoja 6!A:G""),4,FALSE)"),100)</f>
        <v>100</v>
      </c>
      <c r="G177" s="11"/>
    </row>
    <row r="178" spans="1:7" ht="164.25" customHeight="1" x14ac:dyDescent="0.2">
      <c r="A178" s="38">
        <v>10080356</v>
      </c>
      <c r="B178" s="7" t="s">
        <v>186</v>
      </c>
      <c r="C178" s="83"/>
      <c r="D178" s="81"/>
      <c r="E178" s="9">
        <f ca="1">IFERROR(__xludf.DUMMYFUNCTION("VLOOKUP(A178,IMPORTRANGE(""https://docs.google.com/spreadsheets/d/1A0CnpyGr8OFVIrVQpDOl87k8CW58idzvggycPxfU8h0/edit#gid=1298946326"",""Matriz Madre!B:J""),9,FALSE)"),70)</f>
        <v>70</v>
      </c>
      <c r="F178" s="10">
        <f ca="1">IFERROR(__xludf.DUMMYFUNCTION("VLOOKUP(A178,IMPORTRANGE(""https://docs.google.com/spreadsheets/d/1A0CnpyGr8OFVIrVQpDOl87k8CW58idzvggycPxfU8h0/edit#gid=1298946326"",""Hoja 6!A:G""),4,FALSE)"),100)</f>
        <v>100</v>
      </c>
      <c r="G178" s="11"/>
    </row>
    <row r="179" spans="1:7" ht="164.25" customHeight="1" x14ac:dyDescent="0.2">
      <c r="A179" s="6">
        <v>10080357</v>
      </c>
      <c r="B179" s="7" t="s">
        <v>187</v>
      </c>
      <c r="C179" s="8"/>
      <c r="D179" s="13"/>
      <c r="E179" s="9">
        <f ca="1">IFERROR(__xludf.DUMMYFUNCTION("VLOOKUP(A179,IMPORTRANGE(""https://docs.google.com/spreadsheets/d/1A0CnpyGr8OFVIrVQpDOl87k8CW58idzvggycPxfU8h0/edit#gid=1298946326"",""Matriz Madre!B:J""),9,FALSE)"),249.9)</f>
        <v>249.9</v>
      </c>
      <c r="F179" s="10">
        <f ca="1">IFERROR(__xludf.DUMMYFUNCTION("VLOOKUP(A179,IMPORTRANGE(""https://docs.google.com/spreadsheets/d/1A0CnpyGr8OFVIrVQpDOl87k8CW58idzvggycPxfU8h0/edit#gid=1298946326"",""Hoja 6!A:G""),4,FALSE)"),350)</f>
        <v>350</v>
      </c>
      <c r="G179" s="11"/>
    </row>
    <row r="180" spans="1:7" ht="164.25" customHeight="1" x14ac:dyDescent="0.2">
      <c r="A180" s="39" t="s">
        <v>188</v>
      </c>
      <c r="B180" s="40" t="s">
        <v>189</v>
      </c>
      <c r="C180" s="83"/>
      <c r="D180" s="81"/>
      <c r="E180" s="9" t="str">
        <f ca="1">IFERROR(__xludf.DUMMYFUNCTION("VLOOKUP(A180,IMPORTRANGE(""https://docs.google.com/spreadsheets/d/1A0CnpyGr8OFVIrVQpDOl87k8CW58idzvggycPxfU8h0/edit#gid=1298946326"",""Matriz Madre!B:J""),9,FALSE)"),"#N/A")</f>
        <v>#N/A</v>
      </c>
      <c r="F180" s="10" t="str">
        <f ca="1">IFERROR(__xludf.DUMMYFUNCTION("VLOOKUP(A180,IMPORTRANGE(""https://docs.google.com/spreadsheets/d/1A0CnpyGr8OFVIrVQpDOl87k8CW58idzvggycPxfU8h0/edit#gid=1298946326"",""Hoja 6!A:G""),4,FALSE)"),"#N/A")</f>
        <v>#N/A</v>
      </c>
      <c r="G180" s="11"/>
    </row>
    <row r="181" spans="1:7" ht="164.25" customHeight="1" x14ac:dyDescent="0.2">
      <c r="A181" s="6">
        <v>20130006</v>
      </c>
      <c r="B181" s="7" t="s">
        <v>190</v>
      </c>
      <c r="C181" s="83"/>
      <c r="D181" s="81"/>
      <c r="E181" s="9">
        <f ca="1">IFERROR(__xludf.DUMMYFUNCTION("VLOOKUP(A181,IMPORTRANGE(""https://docs.google.com/spreadsheets/d/1A0CnpyGr8OFVIrVQpDOl87k8CW58idzvggycPxfU8h0/edit#gid=1298946326"",""Matriz Madre!B:J""),9,FALSE)"),50)</f>
        <v>50</v>
      </c>
      <c r="F181" s="10" t="str">
        <f ca="1">IFERROR(__xludf.DUMMYFUNCTION("VLOOKUP(A181,IMPORTRANGE(""https://docs.google.com/spreadsheets/d/1A0CnpyGr8OFVIrVQpDOl87k8CW58idzvggycPxfU8h0/edit#gid=1298946326"",""Hoja 6!A:G""),4,FALSE)"),"#N/A")</f>
        <v>#N/A</v>
      </c>
      <c r="G181" s="11"/>
    </row>
  </sheetData>
  <mergeCells count="49">
    <mergeCell ref="C181:D181"/>
    <mergeCell ref="C124:D124"/>
    <mergeCell ref="C125:D125"/>
    <mergeCell ref="C157:D157"/>
    <mergeCell ref="C158:D158"/>
    <mergeCell ref="C159:D159"/>
    <mergeCell ref="C160:D160"/>
    <mergeCell ref="C162:D162"/>
    <mergeCell ref="C172:D172"/>
    <mergeCell ref="C176:D176"/>
    <mergeCell ref="C177:D177"/>
    <mergeCell ref="C178:D178"/>
    <mergeCell ref="C180:D180"/>
    <mergeCell ref="C99:D99"/>
    <mergeCell ref="A101:A102"/>
    <mergeCell ref="B101:B102"/>
    <mergeCell ref="E101:E102"/>
    <mergeCell ref="C61:D61"/>
    <mergeCell ref="C64:D64"/>
    <mergeCell ref="C68:D68"/>
    <mergeCell ref="C71:D71"/>
    <mergeCell ref="C72:D72"/>
    <mergeCell ref="C73:D73"/>
    <mergeCell ref="C83:D83"/>
    <mergeCell ref="C59:D59"/>
    <mergeCell ref="C85:D85"/>
    <mergeCell ref="C86:D86"/>
    <mergeCell ref="C88:D88"/>
    <mergeCell ref="C98:D98"/>
    <mergeCell ref="C36:D36"/>
    <mergeCell ref="C37:D37"/>
    <mergeCell ref="C38:D38"/>
    <mergeCell ref="C49:D49"/>
    <mergeCell ref="C58:D58"/>
    <mergeCell ref="C31:D31"/>
    <mergeCell ref="C32:D32"/>
    <mergeCell ref="C33:D33"/>
    <mergeCell ref="C34:D34"/>
    <mergeCell ref="C35:D35"/>
    <mergeCell ref="C10:D10"/>
    <mergeCell ref="C16:D16"/>
    <mergeCell ref="C17:D17"/>
    <mergeCell ref="C20:D20"/>
    <mergeCell ref="C25:D25"/>
    <mergeCell ref="C1:D1"/>
    <mergeCell ref="C2:D2"/>
    <mergeCell ref="C4:D4"/>
    <mergeCell ref="C7:D7"/>
    <mergeCell ref="C8:D8"/>
  </mergeCells>
  <pageMargins left="0.7" right="0.7" top="0.75" bottom="0.75" header="0" footer="0"/>
  <pageSetup paperSize="9" fitToHeight="0" orientation="portrait"/>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300-000000000000}">
  <sheetPr>
    <outlinePr summaryBelow="0" summaryRight="0"/>
  </sheetPr>
  <dimension ref="A1:K996"/>
  <sheetViews>
    <sheetView workbookViewId="0"/>
  </sheetViews>
  <sheetFormatPr baseColWidth="10" defaultColWidth="14.42578125" defaultRowHeight="15.75" customHeight="1" x14ac:dyDescent="0.2"/>
  <cols>
    <col min="2" max="2" width="11.7109375" customWidth="1"/>
    <col min="3" max="3" width="72.28515625" customWidth="1"/>
  </cols>
  <sheetData>
    <row r="1" spans="1:11" ht="15.75" customHeight="1" x14ac:dyDescent="0.2">
      <c r="C1" s="41"/>
    </row>
    <row r="2" spans="1:11" ht="15.75" customHeight="1" x14ac:dyDescent="0.2">
      <c r="C2" s="41"/>
      <c r="D2" s="42"/>
      <c r="E2" s="43" t="s">
        <v>191</v>
      </c>
      <c r="F2" s="43" t="s">
        <v>192</v>
      </c>
      <c r="G2" s="43" t="s">
        <v>193</v>
      </c>
      <c r="H2" s="43" t="s">
        <v>194</v>
      </c>
      <c r="I2" s="43" t="s">
        <v>195</v>
      </c>
      <c r="J2" s="43" t="s">
        <v>196</v>
      </c>
      <c r="K2" s="44" t="s">
        <v>197</v>
      </c>
    </row>
    <row r="3" spans="1:11" x14ac:dyDescent="0.25">
      <c r="A3" s="45" t="s">
        <v>198</v>
      </c>
      <c r="B3" s="46">
        <v>20050005</v>
      </c>
      <c r="C3" s="47" t="s">
        <v>199</v>
      </c>
      <c r="D3" s="48"/>
      <c r="E3" s="1" t="e">
        <f>VLOOKUP($B3,#REF!,3,FALSE)</f>
        <v>#REF!</v>
      </c>
      <c r="F3" s="1" t="e">
        <f>VLOOKUP($B3,#REF!,4,FALSE)</f>
        <v>#REF!</v>
      </c>
      <c r="G3" s="1" t="e">
        <f>VLOOKUP($B3,#REF!,5,FALSE)</f>
        <v>#REF!</v>
      </c>
      <c r="H3" s="1" t="e">
        <f>VLOOKUP($B3,#REF!,6,FALSE)</f>
        <v>#REF!</v>
      </c>
      <c r="I3" s="1" t="e">
        <f>VLOOKUP($B3,#REF!,7,FALSE)</f>
        <v>#REF!</v>
      </c>
      <c r="J3" s="1" t="e">
        <f>VLOOKUP($B3,#REF!,8,FALSE)</f>
        <v>#REF!</v>
      </c>
      <c r="K3" s="49" t="e">
        <f>VLOOKUP($B3,#REF!,9,FALSE)</f>
        <v>#REF!</v>
      </c>
    </row>
    <row r="4" spans="1:11" x14ac:dyDescent="0.25">
      <c r="A4" s="50" t="s">
        <v>198</v>
      </c>
      <c r="B4" s="51">
        <v>20050020</v>
      </c>
      <c r="C4" s="47" t="e">
        <f>VLOOKUP($B4,#REF!,2,FALSE)</f>
        <v>#REF!</v>
      </c>
      <c r="D4" s="52"/>
      <c r="E4" s="1" t="e">
        <f>VLOOKUP($B4,#REF!,3,FALSE)</f>
        <v>#REF!</v>
      </c>
      <c r="F4" s="1" t="e">
        <f>VLOOKUP($B4,#REF!,4,FALSE)</f>
        <v>#REF!</v>
      </c>
      <c r="G4" s="1" t="e">
        <f>VLOOKUP($B4,#REF!,5,FALSE)</f>
        <v>#REF!</v>
      </c>
      <c r="H4" s="1" t="e">
        <f>VLOOKUP($B4,#REF!,6,FALSE)</f>
        <v>#REF!</v>
      </c>
      <c r="I4" s="1" t="e">
        <f>VLOOKUP($B4,#REF!,7,FALSE)</f>
        <v>#REF!</v>
      </c>
      <c r="J4" s="1" t="e">
        <f>VLOOKUP($B4,#REF!,8,FALSE)</f>
        <v>#REF!</v>
      </c>
      <c r="K4" s="49" t="e">
        <f>VLOOKUP($B4,#REF!,9,FALSE)</f>
        <v>#REF!</v>
      </c>
    </row>
    <row r="5" spans="1:11" x14ac:dyDescent="0.25">
      <c r="A5" s="45" t="s">
        <v>198</v>
      </c>
      <c r="B5" s="53">
        <v>20050008</v>
      </c>
      <c r="C5" s="47" t="e">
        <f>VLOOKUP($B5,#REF!,2,FALSE)</f>
        <v>#REF!</v>
      </c>
      <c r="D5" s="52"/>
      <c r="E5" s="1" t="e">
        <f>VLOOKUP($B5,#REF!,3,FALSE)</f>
        <v>#REF!</v>
      </c>
      <c r="F5" s="1" t="e">
        <f>VLOOKUP($B5,#REF!,4,FALSE)</f>
        <v>#REF!</v>
      </c>
      <c r="G5" s="1" t="e">
        <f>VLOOKUP($B5,#REF!,5,FALSE)</f>
        <v>#REF!</v>
      </c>
      <c r="H5" s="1" t="e">
        <f>VLOOKUP($B5,#REF!,6,FALSE)</f>
        <v>#REF!</v>
      </c>
      <c r="I5" s="1" t="e">
        <f>VLOOKUP($B5,#REF!,7,FALSE)</f>
        <v>#REF!</v>
      </c>
      <c r="J5" s="1" t="e">
        <f>VLOOKUP($B5,#REF!,8,FALSE)</f>
        <v>#REF!</v>
      </c>
      <c r="K5" s="49" t="e">
        <f>VLOOKUP($B5,#REF!,9,FALSE)</f>
        <v>#REF!</v>
      </c>
    </row>
    <row r="6" spans="1:11" x14ac:dyDescent="0.25">
      <c r="A6" s="50" t="s">
        <v>198</v>
      </c>
      <c r="B6" s="51">
        <v>20050012</v>
      </c>
      <c r="C6" s="47" t="e">
        <f>VLOOKUP($B6,#REF!,2,FALSE)</f>
        <v>#REF!</v>
      </c>
      <c r="D6" s="52"/>
      <c r="E6" s="1" t="e">
        <f>VLOOKUP($B6,#REF!,3,FALSE)</f>
        <v>#REF!</v>
      </c>
      <c r="F6" s="1" t="e">
        <f>VLOOKUP($B6,#REF!,4,FALSE)</f>
        <v>#REF!</v>
      </c>
      <c r="G6" s="1" t="e">
        <f>VLOOKUP($B6,#REF!,5,FALSE)</f>
        <v>#REF!</v>
      </c>
      <c r="H6" s="1" t="e">
        <f>VLOOKUP($B6,#REF!,6,FALSE)</f>
        <v>#REF!</v>
      </c>
      <c r="I6" s="1" t="e">
        <f>VLOOKUP($B6,#REF!,7,FALSE)</f>
        <v>#REF!</v>
      </c>
      <c r="J6" s="1" t="e">
        <f>VLOOKUP($B6,#REF!,8,FALSE)</f>
        <v>#REF!</v>
      </c>
      <c r="K6" s="49" t="e">
        <f>VLOOKUP($B6,#REF!,9,FALSE)</f>
        <v>#REF!</v>
      </c>
    </row>
    <row r="7" spans="1:11" x14ac:dyDescent="0.25">
      <c r="A7" s="45" t="s">
        <v>198</v>
      </c>
      <c r="B7" s="53">
        <v>20050009</v>
      </c>
      <c r="C7" s="47" t="e">
        <f>VLOOKUP($B7,#REF!,2,FALSE)</f>
        <v>#REF!</v>
      </c>
      <c r="D7" s="52"/>
      <c r="E7" s="1" t="e">
        <f>VLOOKUP($B7,#REF!,3,FALSE)</f>
        <v>#REF!</v>
      </c>
      <c r="F7" s="1" t="e">
        <f>VLOOKUP($B7,#REF!,4,FALSE)</f>
        <v>#REF!</v>
      </c>
      <c r="G7" s="1" t="e">
        <f>VLOOKUP($B7,#REF!,5,FALSE)</f>
        <v>#REF!</v>
      </c>
      <c r="H7" s="1" t="e">
        <f>VLOOKUP($B7,#REF!,6,FALSE)</f>
        <v>#REF!</v>
      </c>
      <c r="I7" s="1" t="e">
        <f>VLOOKUP($B7,#REF!,7,FALSE)</f>
        <v>#REF!</v>
      </c>
      <c r="J7" s="1" t="e">
        <f>VLOOKUP($B7,#REF!,8,FALSE)</f>
        <v>#REF!</v>
      </c>
      <c r="K7" s="49" t="e">
        <f>VLOOKUP($B7,#REF!,9,FALSE)</f>
        <v>#REF!</v>
      </c>
    </row>
    <row r="8" spans="1:11" x14ac:dyDescent="0.25">
      <c r="A8" s="50" t="s">
        <v>198</v>
      </c>
      <c r="B8" s="51">
        <v>20050019</v>
      </c>
      <c r="C8" s="47" t="e">
        <f>VLOOKUP($B8,#REF!,2,FALSE)</f>
        <v>#REF!</v>
      </c>
      <c r="D8" s="52"/>
      <c r="E8" s="1" t="e">
        <f>VLOOKUP($B8,#REF!,3,FALSE)</f>
        <v>#REF!</v>
      </c>
      <c r="F8" s="1" t="e">
        <f>VLOOKUP($B8,#REF!,4,FALSE)</f>
        <v>#REF!</v>
      </c>
      <c r="G8" s="1" t="e">
        <f>VLOOKUP($B8,#REF!,5,FALSE)</f>
        <v>#REF!</v>
      </c>
      <c r="H8" s="1" t="e">
        <f>VLOOKUP($B8,#REF!,6,FALSE)</f>
        <v>#REF!</v>
      </c>
      <c r="I8" s="1" t="e">
        <f>VLOOKUP($B8,#REF!,7,FALSE)</f>
        <v>#REF!</v>
      </c>
      <c r="J8" s="1" t="e">
        <f>VLOOKUP($B8,#REF!,8,FALSE)</f>
        <v>#REF!</v>
      </c>
      <c r="K8" s="49" t="e">
        <f>VLOOKUP($B8,#REF!,9,FALSE)</f>
        <v>#REF!</v>
      </c>
    </row>
    <row r="9" spans="1:11" x14ac:dyDescent="0.25">
      <c r="A9" s="50" t="s">
        <v>198</v>
      </c>
      <c r="B9" s="51">
        <v>20050018</v>
      </c>
      <c r="C9" s="47" t="e">
        <f>VLOOKUP($B9,#REF!,2,FALSE)</f>
        <v>#REF!</v>
      </c>
      <c r="D9" s="52"/>
      <c r="E9" s="1" t="e">
        <f>VLOOKUP($B9,#REF!,3,FALSE)</f>
        <v>#REF!</v>
      </c>
      <c r="F9" s="1" t="e">
        <f>VLOOKUP($B9,#REF!,4,FALSE)</f>
        <v>#REF!</v>
      </c>
      <c r="G9" s="1" t="e">
        <f>VLOOKUP($B9,#REF!,5,FALSE)</f>
        <v>#REF!</v>
      </c>
      <c r="H9" s="1" t="e">
        <f>VLOOKUP($B9,#REF!,6,FALSE)</f>
        <v>#REF!</v>
      </c>
      <c r="I9" s="1" t="e">
        <f>VLOOKUP($B9,#REF!,7,FALSE)</f>
        <v>#REF!</v>
      </c>
      <c r="J9" s="1" t="e">
        <f>VLOOKUP($B9,#REF!,8,FALSE)</f>
        <v>#REF!</v>
      </c>
      <c r="K9" s="49" t="e">
        <f>VLOOKUP($B9,#REF!,9,FALSE)</f>
        <v>#REF!</v>
      </c>
    </row>
    <row r="10" spans="1:11" x14ac:dyDescent="0.25">
      <c r="A10" s="45" t="s">
        <v>198</v>
      </c>
      <c r="B10" s="53">
        <v>20050010</v>
      </c>
      <c r="C10" s="47" t="e">
        <f>VLOOKUP($B10,#REF!,2,FALSE)</f>
        <v>#REF!</v>
      </c>
      <c r="D10" s="52"/>
      <c r="E10" s="1" t="e">
        <f>VLOOKUP($B10,#REF!,3,FALSE)</f>
        <v>#REF!</v>
      </c>
      <c r="F10" s="1" t="e">
        <f>VLOOKUP($B10,#REF!,4,FALSE)</f>
        <v>#REF!</v>
      </c>
      <c r="G10" s="1" t="e">
        <f>VLOOKUP($B10,#REF!,5,FALSE)</f>
        <v>#REF!</v>
      </c>
      <c r="H10" s="1" t="e">
        <f>VLOOKUP($B10,#REF!,6,FALSE)</f>
        <v>#REF!</v>
      </c>
      <c r="I10" s="1" t="e">
        <f>VLOOKUP($B10,#REF!,7,FALSE)</f>
        <v>#REF!</v>
      </c>
      <c r="J10" s="1" t="e">
        <f>VLOOKUP($B10,#REF!,8,FALSE)</f>
        <v>#REF!</v>
      </c>
      <c r="K10" s="49" t="e">
        <f>VLOOKUP($B10,#REF!,9,FALSE)</f>
        <v>#REF!</v>
      </c>
    </row>
    <row r="11" spans="1:11" x14ac:dyDescent="0.25">
      <c r="A11" s="50" t="s">
        <v>198</v>
      </c>
      <c r="B11" s="51">
        <v>20050011</v>
      </c>
      <c r="C11" s="47" t="e">
        <f>VLOOKUP($B11,#REF!,2,FALSE)</f>
        <v>#REF!</v>
      </c>
      <c r="D11" s="52"/>
      <c r="E11" s="1" t="e">
        <f>VLOOKUP($B11,#REF!,3,FALSE)</f>
        <v>#REF!</v>
      </c>
      <c r="F11" s="1" t="e">
        <f>VLOOKUP($B11,#REF!,4,FALSE)</f>
        <v>#REF!</v>
      </c>
      <c r="G11" s="1" t="e">
        <f>VLOOKUP($B11,#REF!,5,FALSE)</f>
        <v>#REF!</v>
      </c>
      <c r="H11" s="1" t="e">
        <f>VLOOKUP($B11,#REF!,6,FALSE)</f>
        <v>#REF!</v>
      </c>
      <c r="I11" s="1" t="e">
        <f>VLOOKUP($B11,#REF!,7,FALSE)</f>
        <v>#REF!</v>
      </c>
      <c r="J11" s="1" t="e">
        <f>VLOOKUP($B11,#REF!,8,FALSE)</f>
        <v>#REF!</v>
      </c>
      <c r="K11" s="49" t="e">
        <f>VLOOKUP($B11,#REF!,9,FALSE)</f>
        <v>#REF!</v>
      </c>
    </row>
    <row r="12" spans="1:11" x14ac:dyDescent="0.25">
      <c r="A12" s="45" t="s">
        <v>198</v>
      </c>
      <c r="B12" s="53">
        <v>20050006</v>
      </c>
      <c r="C12" s="47" t="e">
        <f>VLOOKUP($B12,#REF!,2,FALSE)</f>
        <v>#REF!</v>
      </c>
      <c r="D12" s="52"/>
      <c r="E12" s="1" t="e">
        <f>VLOOKUP($B12,#REF!,3,FALSE)</f>
        <v>#REF!</v>
      </c>
      <c r="F12" s="1" t="e">
        <f>VLOOKUP($B12,#REF!,4,FALSE)</f>
        <v>#REF!</v>
      </c>
      <c r="G12" s="1" t="e">
        <f>VLOOKUP($B12,#REF!,5,FALSE)</f>
        <v>#REF!</v>
      </c>
      <c r="H12" s="1" t="e">
        <f>VLOOKUP($B12,#REF!,6,FALSE)</f>
        <v>#REF!</v>
      </c>
      <c r="I12" s="1" t="e">
        <f>VLOOKUP($B12,#REF!,7,FALSE)</f>
        <v>#REF!</v>
      </c>
      <c r="J12" s="1" t="e">
        <f>VLOOKUP($B12,#REF!,8,FALSE)</f>
        <v>#REF!</v>
      </c>
      <c r="K12" s="49" t="e">
        <f>VLOOKUP($B12,#REF!,9,FALSE)</f>
        <v>#REF!</v>
      </c>
    </row>
    <row r="13" spans="1:11" x14ac:dyDescent="0.25">
      <c r="A13" s="50" t="s">
        <v>198</v>
      </c>
      <c r="B13" s="51">
        <v>20050007</v>
      </c>
      <c r="C13" s="47" t="e">
        <f>VLOOKUP($B13,#REF!,2,FALSE)</f>
        <v>#REF!</v>
      </c>
      <c r="D13" s="52"/>
      <c r="E13" s="1" t="e">
        <f>VLOOKUP($B13,#REF!,3,FALSE)</f>
        <v>#REF!</v>
      </c>
      <c r="F13" s="1" t="e">
        <f>VLOOKUP($B13,#REF!,4,FALSE)</f>
        <v>#REF!</v>
      </c>
      <c r="G13" s="1" t="e">
        <f>VLOOKUP($B13,#REF!,5,FALSE)</f>
        <v>#REF!</v>
      </c>
      <c r="H13" s="1" t="e">
        <f>VLOOKUP($B13,#REF!,6,FALSE)</f>
        <v>#REF!</v>
      </c>
      <c r="I13" s="1" t="e">
        <f>VLOOKUP($B13,#REF!,7,FALSE)</f>
        <v>#REF!</v>
      </c>
      <c r="J13" s="1" t="e">
        <f>VLOOKUP($B13,#REF!,8,FALSE)</f>
        <v>#REF!</v>
      </c>
      <c r="K13" s="49" t="e">
        <f>VLOOKUP($B13,#REF!,9,FALSE)</f>
        <v>#REF!</v>
      </c>
    </row>
    <row r="14" spans="1:11" x14ac:dyDescent="0.25">
      <c r="A14" s="45" t="s">
        <v>198</v>
      </c>
      <c r="B14" s="53">
        <v>20050034</v>
      </c>
      <c r="C14" s="47" t="e">
        <f>VLOOKUP($B14,#REF!,2,FALSE)</f>
        <v>#REF!</v>
      </c>
      <c r="D14" s="52"/>
      <c r="E14" s="1" t="e">
        <f>VLOOKUP($B14,#REF!,3,FALSE)</f>
        <v>#REF!</v>
      </c>
      <c r="F14" s="1" t="e">
        <f>VLOOKUP($B14,#REF!,4,FALSE)</f>
        <v>#REF!</v>
      </c>
      <c r="G14" s="1" t="e">
        <f>VLOOKUP($B14,#REF!,5,FALSE)</f>
        <v>#REF!</v>
      </c>
      <c r="H14" s="1" t="e">
        <f>VLOOKUP($B14,#REF!,6,FALSE)</f>
        <v>#REF!</v>
      </c>
      <c r="I14" s="1" t="e">
        <f>VLOOKUP($B14,#REF!,7,FALSE)</f>
        <v>#REF!</v>
      </c>
      <c r="J14" s="1" t="e">
        <f>VLOOKUP($B14,#REF!,8,FALSE)</f>
        <v>#REF!</v>
      </c>
      <c r="K14" s="49" t="e">
        <f>VLOOKUP($B14,#REF!,9,FALSE)</f>
        <v>#REF!</v>
      </c>
    </row>
    <row r="15" spans="1:11" x14ac:dyDescent="0.25">
      <c r="A15" s="50" t="s">
        <v>198</v>
      </c>
      <c r="B15" s="51">
        <v>20050016</v>
      </c>
      <c r="C15" s="47" t="e">
        <f>VLOOKUP($B15,#REF!,2,FALSE)</f>
        <v>#REF!</v>
      </c>
      <c r="D15" s="52"/>
      <c r="E15" s="1" t="e">
        <f>VLOOKUP($B15,#REF!,3,FALSE)</f>
        <v>#REF!</v>
      </c>
      <c r="F15" s="1" t="e">
        <f>VLOOKUP($B15,#REF!,4,FALSE)</f>
        <v>#REF!</v>
      </c>
      <c r="G15" s="1" t="e">
        <f>VLOOKUP($B15,#REF!,5,FALSE)</f>
        <v>#REF!</v>
      </c>
      <c r="H15" s="1" t="e">
        <f>VLOOKUP($B15,#REF!,6,FALSE)</f>
        <v>#REF!</v>
      </c>
      <c r="I15" s="1" t="e">
        <f>VLOOKUP($B15,#REF!,7,FALSE)</f>
        <v>#REF!</v>
      </c>
      <c r="J15" s="1" t="e">
        <f>VLOOKUP($B15,#REF!,8,FALSE)</f>
        <v>#REF!</v>
      </c>
      <c r="K15" s="49" t="e">
        <f>VLOOKUP($B15,#REF!,9,FALSE)</f>
        <v>#REF!</v>
      </c>
    </row>
    <row r="16" spans="1:11" x14ac:dyDescent="0.25">
      <c r="A16" s="45" t="s">
        <v>198</v>
      </c>
      <c r="B16" s="53">
        <v>20050015</v>
      </c>
      <c r="C16" s="47" t="e">
        <f>VLOOKUP($B16,#REF!,2,FALSE)</f>
        <v>#REF!</v>
      </c>
      <c r="D16" s="52"/>
      <c r="E16" s="1" t="e">
        <f>VLOOKUP($B16,#REF!,3,FALSE)</f>
        <v>#REF!</v>
      </c>
      <c r="F16" s="1" t="e">
        <f>VLOOKUP($B16,#REF!,4,FALSE)</f>
        <v>#REF!</v>
      </c>
      <c r="G16" s="1" t="e">
        <f>VLOOKUP($B16,#REF!,5,FALSE)</f>
        <v>#REF!</v>
      </c>
      <c r="H16" s="1" t="e">
        <f>VLOOKUP($B16,#REF!,6,FALSE)</f>
        <v>#REF!</v>
      </c>
      <c r="I16" s="1" t="e">
        <f>VLOOKUP($B16,#REF!,7,FALSE)</f>
        <v>#REF!</v>
      </c>
      <c r="J16" s="1" t="e">
        <f>VLOOKUP($B16,#REF!,8,FALSE)</f>
        <v>#REF!</v>
      </c>
      <c r="K16" s="49" t="e">
        <f>VLOOKUP($B16,#REF!,9,FALSE)</f>
        <v>#REF!</v>
      </c>
    </row>
    <row r="17" spans="1:11" x14ac:dyDescent="0.25">
      <c r="A17" s="50" t="s">
        <v>198</v>
      </c>
      <c r="B17" s="51">
        <v>20050036</v>
      </c>
      <c r="C17" s="47" t="e">
        <f>VLOOKUP($B17,#REF!,2,FALSE)</f>
        <v>#REF!</v>
      </c>
      <c r="D17" s="52"/>
      <c r="E17" s="1" t="e">
        <f>VLOOKUP($B17,#REF!,3,FALSE)</f>
        <v>#REF!</v>
      </c>
      <c r="F17" s="1" t="e">
        <f>VLOOKUP($B17,#REF!,4,FALSE)</f>
        <v>#REF!</v>
      </c>
      <c r="G17" s="1" t="e">
        <f>VLOOKUP($B17,#REF!,5,FALSE)</f>
        <v>#REF!</v>
      </c>
      <c r="H17" s="1" t="e">
        <f>VLOOKUP($B17,#REF!,6,FALSE)</f>
        <v>#REF!</v>
      </c>
      <c r="I17" s="1" t="e">
        <f>VLOOKUP($B17,#REF!,7,FALSE)</f>
        <v>#REF!</v>
      </c>
      <c r="J17" s="1" t="e">
        <f>VLOOKUP($B17,#REF!,8,FALSE)</f>
        <v>#REF!</v>
      </c>
      <c r="K17" s="49" t="e">
        <f>VLOOKUP($B17,#REF!,9,FALSE)</f>
        <v>#REF!</v>
      </c>
    </row>
    <row r="18" spans="1:11" x14ac:dyDescent="0.25">
      <c r="A18" s="45" t="s">
        <v>198</v>
      </c>
      <c r="B18" s="53">
        <v>20050037</v>
      </c>
      <c r="C18" s="47" t="e">
        <f>VLOOKUP($B18,#REF!,2,FALSE)</f>
        <v>#REF!</v>
      </c>
      <c r="D18" s="52"/>
      <c r="E18" s="1" t="e">
        <f>VLOOKUP($B18,#REF!,3,FALSE)</f>
        <v>#REF!</v>
      </c>
      <c r="F18" s="1" t="e">
        <f>VLOOKUP($B18,#REF!,4,FALSE)</f>
        <v>#REF!</v>
      </c>
      <c r="G18" s="1" t="e">
        <f>VLOOKUP($B18,#REF!,5,FALSE)</f>
        <v>#REF!</v>
      </c>
      <c r="H18" s="1" t="e">
        <f>VLOOKUP($B18,#REF!,6,FALSE)</f>
        <v>#REF!</v>
      </c>
      <c r="I18" s="1" t="e">
        <f>VLOOKUP($B18,#REF!,7,FALSE)</f>
        <v>#REF!</v>
      </c>
      <c r="J18" s="1" t="e">
        <f>VLOOKUP($B18,#REF!,8,FALSE)</f>
        <v>#REF!</v>
      </c>
      <c r="K18" s="49" t="e">
        <f>VLOOKUP($B18,#REF!,9,FALSE)</f>
        <v>#REF!</v>
      </c>
    </row>
    <row r="19" spans="1:11" x14ac:dyDescent="0.25">
      <c r="A19" s="50" t="s">
        <v>198</v>
      </c>
      <c r="B19" s="51">
        <v>20050038</v>
      </c>
      <c r="C19" s="47" t="e">
        <f>VLOOKUP($B19,#REF!,2,FALSE)</f>
        <v>#REF!</v>
      </c>
      <c r="D19" s="52"/>
      <c r="E19" s="1" t="e">
        <f>VLOOKUP($B19,#REF!,3,FALSE)</f>
        <v>#REF!</v>
      </c>
      <c r="F19" s="1" t="e">
        <f>VLOOKUP($B19,#REF!,4,FALSE)</f>
        <v>#REF!</v>
      </c>
      <c r="G19" s="1" t="e">
        <f>VLOOKUP($B19,#REF!,5,FALSE)</f>
        <v>#REF!</v>
      </c>
      <c r="H19" s="1" t="e">
        <f>VLOOKUP($B19,#REF!,6,FALSE)</f>
        <v>#REF!</v>
      </c>
      <c r="I19" s="1" t="e">
        <f>VLOOKUP($B19,#REF!,7,FALSE)</f>
        <v>#REF!</v>
      </c>
      <c r="J19" s="1" t="e">
        <f>VLOOKUP($B19,#REF!,8,FALSE)</f>
        <v>#REF!</v>
      </c>
      <c r="K19" s="49" t="e">
        <f>VLOOKUP($B19,#REF!,9,FALSE)</f>
        <v>#REF!</v>
      </c>
    </row>
    <row r="20" spans="1:11" x14ac:dyDescent="0.25">
      <c r="A20" s="45" t="s">
        <v>198</v>
      </c>
      <c r="B20" s="53">
        <v>20050039</v>
      </c>
      <c r="C20" s="47" t="e">
        <f>VLOOKUP($B20,#REF!,2,FALSE)</f>
        <v>#REF!</v>
      </c>
      <c r="D20" s="52"/>
      <c r="E20" s="1" t="e">
        <f>VLOOKUP($B20,#REF!,3,FALSE)</f>
        <v>#REF!</v>
      </c>
      <c r="F20" s="1" t="e">
        <f>VLOOKUP($B20,#REF!,4,FALSE)</f>
        <v>#REF!</v>
      </c>
      <c r="G20" s="1" t="e">
        <f>VLOOKUP($B20,#REF!,5,FALSE)</f>
        <v>#REF!</v>
      </c>
      <c r="H20" s="1" t="e">
        <f>VLOOKUP($B20,#REF!,6,FALSE)</f>
        <v>#REF!</v>
      </c>
      <c r="I20" s="1" t="e">
        <f>VLOOKUP($B20,#REF!,7,FALSE)</f>
        <v>#REF!</v>
      </c>
      <c r="J20" s="1" t="e">
        <f>VLOOKUP($B20,#REF!,8,FALSE)</f>
        <v>#REF!</v>
      </c>
      <c r="K20" s="49" t="e">
        <f>VLOOKUP($B20,#REF!,9,FALSE)</f>
        <v>#REF!</v>
      </c>
    </row>
    <row r="21" spans="1:11" x14ac:dyDescent="0.25">
      <c r="A21" s="50" t="s">
        <v>198</v>
      </c>
      <c r="B21" s="51">
        <v>10080233</v>
      </c>
      <c r="C21" s="47" t="e">
        <f>VLOOKUP($B21,#REF!,2,FALSE)</f>
        <v>#REF!</v>
      </c>
      <c r="D21" s="52"/>
      <c r="E21" s="1" t="e">
        <f>VLOOKUP($B21,#REF!,3,FALSE)</f>
        <v>#REF!</v>
      </c>
      <c r="F21" s="1" t="e">
        <f>VLOOKUP($B21,#REF!,4,FALSE)</f>
        <v>#REF!</v>
      </c>
      <c r="G21" s="1" t="e">
        <f>VLOOKUP($B21,#REF!,5,FALSE)</f>
        <v>#REF!</v>
      </c>
      <c r="H21" s="1" t="e">
        <f>VLOOKUP($B21,#REF!,6,FALSE)</f>
        <v>#REF!</v>
      </c>
      <c r="I21" s="1" t="e">
        <f>VLOOKUP($B21,#REF!,7,FALSE)</f>
        <v>#REF!</v>
      </c>
      <c r="J21" s="1" t="e">
        <f>VLOOKUP($B21,#REF!,8,FALSE)</f>
        <v>#REF!</v>
      </c>
      <c r="K21" s="49" t="e">
        <f>VLOOKUP($B21,#REF!,9,FALSE)</f>
        <v>#REF!</v>
      </c>
    </row>
    <row r="22" spans="1:11" x14ac:dyDescent="0.25">
      <c r="A22" s="45" t="s">
        <v>198</v>
      </c>
      <c r="B22" s="53">
        <v>10160055</v>
      </c>
      <c r="C22" s="47" t="e">
        <f>VLOOKUP($B22,#REF!,2,FALSE)</f>
        <v>#REF!</v>
      </c>
      <c r="D22" s="52"/>
      <c r="E22" s="1" t="e">
        <f>VLOOKUP($B22,#REF!,3,FALSE)</f>
        <v>#REF!</v>
      </c>
      <c r="F22" s="1" t="e">
        <f>VLOOKUP($B22,#REF!,4,FALSE)</f>
        <v>#REF!</v>
      </c>
      <c r="G22" s="1" t="e">
        <f>VLOOKUP($B22,#REF!,5,FALSE)</f>
        <v>#REF!</v>
      </c>
      <c r="H22" s="1" t="e">
        <f>VLOOKUP($B22,#REF!,6,FALSE)</f>
        <v>#REF!</v>
      </c>
      <c r="I22" s="1" t="e">
        <f>VLOOKUP($B22,#REF!,7,FALSE)</f>
        <v>#REF!</v>
      </c>
      <c r="J22" s="1" t="e">
        <f>VLOOKUP($B22,#REF!,8,FALSE)</f>
        <v>#REF!</v>
      </c>
      <c r="K22" s="49" t="e">
        <f>VLOOKUP($B22,#REF!,9,FALSE)</f>
        <v>#REF!</v>
      </c>
    </row>
    <row r="23" spans="1:11" ht="15" x14ac:dyDescent="0.25">
      <c r="A23" s="50" t="s">
        <v>198</v>
      </c>
      <c r="B23" s="51">
        <v>10010404</v>
      </c>
      <c r="C23" s="47" t="e">
        <f>VLOOKUP($B23,#REF!,2,FALSE)</f>
        <v>#REF!</v>
      </c>
      <c r="D23" s="52"/>
      <c r="E23" s="1" t="e">
        <f>VLOOKUP($B23,#REF!,3,FALSE)</f>
        <v>#REF!</v>
      </c>
      <c r="F23" s="1" t="e">
        <f>VLOOKUP($B23,#REF!,4,FALSE)</f>
        <v>#REF!</v>
      </c>
      <c r="G23" s="1" t="e">
        <f>VLOOKUP($B23,#REF!,5,FALSE)</f>
        <v>#REF!</v>
      </c>
      <c r="H23" s="1" t="e">
        <f>VLOOKUP($B23,#REF!,6,FALSE)</f>
        <v>#REF!</v>
      </c>
      <c r="I23" s="1" t="e">
        <f>VLOOKUP($B23,#REF!,7,FALSE)</f>
        <v>#REF!</v>
      </c>
      <c r="J23" s="1" t="e">
        <f>VLOOKUP($B23,#REF!,8,FALSE)</f>
        <v>#REF!</v>
      </c>
      <c r="K23" s="49" t="e">
        <f>VLOOKUP($B23,#REF!,9,FALSE)</f>
        <v>#REF!</v>
      </c>
    </row>
    <row r="24" spans="1:11" ht="15" x14ac:dyDescent="0.25">
      <c r="A24" s="45" t="s">
        <v>198</v>
      </c>
      <c r="B24" s="53">
        <v>20050032</v>
      </c>
      <c r="C24" s="47" t="e">
        <f>VLOOKUP($B24,#REF!,2,FALSE)</f>
        <v>#REF!</v>
      </c>
      <c r="D24" s="52"/>
      <c r="E24" s="1" t="e">
        <f>VLOOKUP($B24,#REF!,3,FALSE)</f>
        <v>#REF!</v>
      </c>
      <c r="F24" s="1" t="e">
        <f>VLOOKUP($B24,#REF!,4,FALSE)</f>
        <v>#REF!</v>
      </c>
      <c r="G24" s="1" t="e">
        <f>VLOOKUP($B24,#REF!,5,FALSE)</f>
        <v>#REF!</v>
      </c>
      <c r="H24" s="1" t="e">
        <f>VLOOKUP($B24,#REF!,6,FALSE)</f>
        <v>#REF!</v>
      </c>
      <c r="I24" s="1" t="e">
        <f>VLOOKUP($B24,#REF!,7,FALSE)</f>
        <v>#REF!</v>
      </c>
      <c r="J24" s="1" t="e">
        <f>VLOOKUP($B24,#REF!,8,FALSE)</f>
        <v>#REF!</v>
      </c>
      <c r="K24" s="49" t="e">
        <f>VLOOKUP($B24,#REF!,9,FALSE)</f>
        <v>#REF!</v>
      </c>
    </row>
    <row r="25" spans="1:11" ht="15" x14ac:dyDescent="0.25">
      <c r="A25" s="50" t="s">
        <v>198</v>
      </c>
      <c r="B25" s="51">
        <v>20050033</v>
      </c>
      <c r="C25" s="47" t="e">
        <f>VLOOKUP($B25,#REF!,2,FALSE)</f>
        <v>#REF!</v>
      </c>
      <c r="D25" s="52"/>
      <c r="E25" s="1" t="e">
        <f>VLOOKUP($B25,#REF!,3,FALSE)</f>
        <v>#REF!</v>
      </c>
      <c r="F25" s="1" t="e">
        <f>VLOOKUP($B25,#REF!,4,FALSE)</f>
        <v>#REF!</v>
      </c>
      <c r="G25" s="1" t="e">
        <f>VLOOKUP($B25,#REF!,5,FALSE)</f>
        <v>#REF!</v>
      </c>
      <c r="H25" s="1" t="e">
        <f>VLOOKUP($B25,#REF!,6,FALSE)</f>
        <v>#REF!</v>
      </c>
      <c r="I25" s="1" t="e">
        <f>VLOOKUP($B25,#REF!,7,FALSE)</f>
        <v>#REF!</v>
      </c>
      <c r="J25" s="1" t="e">
        <f>VLOOKUP($B25,#REF!,8,FALSE)</f>
        <v>#REF!</v>
      </c>
      <c r="K25" s="49" t="e">
        <f>VLOOKUP($B25,#REF!,9,FALSE)</f>
        <v>#REF!</v>
      </c>
    </row>
    <row r="26" spans="1:11" ht="15" x14ac:dyDescent="0.25">
      <c r="A26" s="45" t="s">
        <v>198</v>
      </c>
      <c r="B26" s="53">
        <v>20050028</v>
      </c>
      <c r="C26" s="47" t="e">
        <f>VLOOKUP($B26,#REF!,2,FALSE)</f>
        <v>#REF!</v>
      </c>
      <c r="D26" s="52"/>
      <c r="E26" s="1" t="e">
        <f>VLOOKUP($B26,#REF!,3,FALSE)</f>
        <v>#REF!</v>
      </c>
      <c r="F26" s="1" t="e">
        <f>VLOOKUP($B26,#REF!,4,FALSE)</f>
        <v>#REF!</v>
      </c>
      <c r="G26" s="1" t="e">
        <f>VLOOKUP($B26,#REF!,5,FALSE)</f>
        <v>#REF!</v>
      </c>
      <c r="H26" s="1" t="e">
        <f>VLOOKUP($B26,#REF!,6,FALSE)</f>
        <v>#REF!</v>
      </c>
      <c r="I26" s="1" t="e">
        <f>VLOOKUP($B26,#REF!,7,FALSE)</f>
        <v>#REF!</v>
      </c>
      <c r="J26" s="1" t="e">
        <f>VLOOKUP($B26,#REF!,8,FALSE)</f>
        <v>#REF!</v>
      </c>
      <c r="K26" s="49" t="e">
        <f>VLOOKUP($B26,#REF!,9,FALSE)</f>
        <v>#REF!</v>
      </c>
    </row>
    <row r="27" spans="1:11" ht="15" x14ac:dyDescent="0.25">
      <c r="A27" s="50" t="s">
        <v>198</v>
      </c>
      <c r="B27" s="51">
        <v>20050029</v>
      </c>
      <c r="C27" s="47" t="e">
        <f>VLOOKUP($B27,#REF!,2,FALSE)</f>
        <v>#REF!</v>
      </c>
      <c r="D27" s="52"/>
      <c r="E27" s="1" t="e">
        <f>VLOOKUP($B27,#REF!,3,FALSE)</f>
        <v>#REF!</v>
      </c>
      <c r="F27" s="1" t="e">
        <f>VLOOKUP($B27,#REF!,4,FALSE)</f>
        <v>#REF!</v>
      </c>
      <c r="G27" s="1" t="e">
        <f>VLOOKUP($B27,#REF!,5,FALSE)</f>
        <v>#REF!</v>
      </c>
      <c r="H27" s="1" t="e">
        <f>VLOOKUP($B27,#REF!,6,FALSE)</f>
        <v>#REF!</v>
      </c>
      <c r="I27" s="1" t="e">
        <f>VLOOKUP($B27,#REF!,7,FALSE)</f>
        <v>#REF!</v>
      </c>
      <c r="J27" s="1" t="e">
        <f>VLOOKUP($B27,#REF!,8,FALSE)</f>
        <v>#REF!</v>
      </c>
      <c r="K27" s="49" t="e">
        <f>VLOOKUP($B27,#REF!,9,FALSE)</f>
        <v>#REF!</v>
      </c>
    </row>
    <row r="28" spans="1:11" ht="15" x14ac:dyDescent="0.25">
      <c r="A28" s="45" t="s">
        <v>198</v>
      </c>
      <c r="B28" s="53">
        <v>20050030</v>
      </c>
      <c r="C28" s="47" t="e">
        <f>VLOOKUP($B28,#REF!,2,FALSE)</f>
        <v>#REF!</v>
      </c>
      <c r="D28" s="52"/>
      <c r="E28" s="1" t="e">
        <f>VLOOKUP($B28,#REF!,3,FALSE)</f>
        <v>#REF!</v>
      </c>
      <c r="F28" s="1" t="e">
        <f>VLOOKUP($B28,#REF!,4,FALSE)</f>
        <v>#REF!</v>
      </c>
      <c r="G28" s="1" t="e">
        <f>VLOOKUP($B28,#REF!,5,FALSE)</f>
        <v>#REF!</v>
      </c>
      <c r="H28" s="1" t="e">
        <f>VLOOKUP($B28,#REF!,6,FALSE)</f>
        <v>#REF!</v>
      </c>
      <c r="I28" s="1" t="e">
        <f>VLOOKUP($B28,#REF!,7,FALSE)</f>
        <v>#REF!</v>
      </c>
      <c r="J28" s="1" t="e">
        <f>VLOOKUP($B28,#REF!,8,FALSE)</f>
        <v>#REF!</v>
      </c>
      <c r="K28" s="49" t="e">
        <f>VLOOKUP($B28,#REF!,9,FALSE)</f>
        <v>#REF!</v>
      </c>
    </row>
    <row r="29" spans="1:11" ht="15" x14ac:dyDescent="0.25">
      <c r="A29" s="50" t="s">
        <v>198</v>
      </c>
      <c r="B29" s="51">
        <v>20050031</v>
      </c>
      <c r="C29" s="47" t="e">
        <f>VLOOKUP($B29,#REF!,2,FALSE)</f>
        <v>#REF!</v>
      </c>
      <c r="D29" s="52"/>
      <c r="E29" s="1" t="e">
        <f>VLOOKUP($B29,#REF!,3,FALSE)</f>
        <v>#REF!</v>
      </c>
      <c r="F29" s="1" t="e">
        <f>VLOOKUP($B29,#REF!,4,FALSE)</f>
        <v>#REF!</v>
      </c>
      <c r="G29" s="1" t="e">
        <f>VLOOKUP($B29,#REF!,5,FALSE)</f>
        <v>#REF!</v>
      </c>
      <c r="H29" s="1" t="e">
        <f>VLOOKUP($B29,#REF!,6,FALSE)</f>
        <v>#REF!</v>
      </c>
      <c r="I29" s="1" t="e">
        <f>VLOOKUP($B29,#REF!,7,FALSE)</f>
        <v>#REF!</v>
      </c>
      <c r="J29" s="1" t="e">
        <f>VLOOKUP($B29,#REF!,8,FALSE)</f>
        <v>#REF!</v>
      </c>
      <c r="K29" s="49" t="e">
        <f>VLOOKUP($B29,#REF!,9,FALSE)</f>
        <v>#REF!</v>
      </c>
    </row>
    <row r="30" spans="1:11" ht="15" x14ac:dyDescent="0.25">
      <c r="A30" s="45" t="s">
        <v>198</v>
      </c>
      <c r="B30" s="53">
        <v>20050013</v>
      </c>
      <c r="C30" s="47" t="e">
        <f>VLOOKUP($B30,#REF!,2,FALSE)</f>
        <v>#REF!</v>
      </c>
      <c r="D30" s="52"/>
      <c r="E30" s="1" t="e">
        <f>VLOOKUP($B30,#REF!,3,FALSE)</f>
        <v>#REF!</v>
      </c>
      <c r="F30" s="1" t="e">
        <f>VLOOKUP($B30,#REF!,4,FALSE)</f>
        <v>#REF!</v>
      </c>
      <c r="G30" s="1" t="e">
        <f>VLOOKUP($B30,#REF!,5,FALSE)</f>
        <v>#REF!</v>
      </c>
      <c r="H30" s="1" t="e">
        <f>VLOOKUP($B30,#REF!,6,FALSE)</f>
        <v>#REF!</v>
      </c>
      <c r="I30" s="1" t="e">
        <f>VLOOKUP($B30,#REF!,7,FALSE)</f>
        <v>#REF!</v>
      </c>
      <c r="J30" s="1" t="e">
        <f>VLOOKUP($B30,#REF!,8,FALSE)</f>
        <v>#REF!</v>
      </c>
      <c r="K30" s="49" t="e">
        <f>VLOOKUP($B30,#REF!,9,FALSE)</f>
        <v>#REF!</v>
      </c>
    </row>
    <row r="31" spans="1:11" ht="15" x14ac:dyDescent="0.25">
      <c r="D31" s="52"/>
      <c r="E31" s="48"/>
      <c r="F31" s="48"/>
      <c r="G31" s="48"/>
      <c r="H31" s="48"/>
      <c r="I31" s="48"/>
      <c r="J31" s="48"/>
      <c r="K31" s="49"/>
    </row>
    <row r="32" spans="1:11" ht="12.75" x14ac:dyDescent="0.2">
      <c r="C32" s="41"/>
      <c r="D32" s="42"/>
      <c r="E32" s="54"/>
      <c r="F32" s="54"/>
      <c r="G32" s="54"/>
      <c r="H32" s="54"/>
      <c r="I32" s="54"/>
      <c r="J32" s="54"/>
    </row>
    <row r="33" spans="3:10" ht="12.75" x14ac:dyDescent="0.2">
      <c r="C33" s="41"/>
      <c r="D33" s="42"/>
      <c r="E33" s="54"/>
      <c r="F33" s="54"/>
      <c r="G33" s="54"/>
      <c r="H33" s="54"/>
      <c r="I33" s="54"/>
      <c r="J33" s="54"/>
    </row>
    <row r="34" spans="3:10" ht="12.75" x14ac:dyDescent="0.2">
      <c r="C34" s="41"/>
      <c r="D34" s="42"/>
      <c r="E34" s="54"/>
      <c r="F34" s="54"/>
      <c r="G34" s="54"/>
      <c r="H34" s="54"/>
      <c r="I34" s="54"/>
      <c r="J34" s="54"/>
    </row>
    <row r="35" spans="3:10" ht="12.75" x14ac:dyDescent="0.2">
      <c r="C35" s="41"/>
      <c r="D35" s="42"/>
      <c r="E35" s="54"/>
      <c r="F35" s="54"/>
      <c r="G35" s="54"/>
      <c r="H35" s="54"/>
      <c r="I35" s="54"/>
      <c r="J35" s="54"/>
    </row>
    <row r="36" spans="3:10" ht="12.75" x14ac:dyDescent="0.2">
      <c r="C36" s="41"/>
      <c r="D36" s="42"/>
      <c r="E36" s="54"/>
      <c r="F36" s="54"/>
      <c r="G36" s="54"/>
      <c r="H36" s="54"/>
      <c r="I36" s="54"/>
      <c r="J36" s="54"/>
    </row>
    <row r="37" spans="3:10" ht="12.75" x14ac:dyDescent="0.2">
      <c r="C37" s="41"/>
      <c r="D37" s="42"/>
      <c r="E37" s="54"/>
      <c r="F37" s="54"/>
      <c r="G37" s="54"/>
      <c r="H37" s="54"/>
      <c r="I37" s="54"/>
      <c r="J37" s="54"/>
    </row>
    <row r="38" spans="3:10" ht="12.75" x14ac:dyDescent="0.2">
      <c r="C38" s="41"/>
      <c r="D38" s="42"/>
      <c r="E38" s="54"/>
      <c r="F38" s="54"/>
      <c r="G38" s="54"/>
      <c r="H38" s="54"/>
      <c r="I38" s="54"/>
      <c r="J38" s="54"/>
    </row>
    <row r="39" spans="3:10" ht="12.75" x14ac:dyDescent="0.2">
      <c r="C39" s="41"/>
      <c r="D39" s="42"/>
      <c r="E39" s="54"/>
      <c r="F39" s="54"/>
      <c r="G39" s="54"/>
      <c r="H39" s="54"/>
      <c r="I39" s="54"/>
      <c r="J39" s="54"/>
    </row>
    <row r="40" spans="3:10" ht="12.75" x14ac:dyDescent="0.2">
      <c r="C40" s="41"/>
      <c r="D40" s="42"/>
      <c r="E40" s="54"/>
      <c r="F40" s="54"/>
      <c r="G40" s="54"/>
      <c r="H40" s="54"/>
      <c r="I40" s="54"/>
      <c r="J40" s="54"/>
    </row>
    <row r="41" spans="3:10" ht="12.75" x14ac:dyDescent="0.2">
      <c r="C41" s="41"/>
      <c r="D41" s="42"/>
      <c r="E41" s="54"/>
      <c r="F41" s="54"/>
      <c r="G41" s="54"/>
      <c r="H41" s="54"/>
      <c r="I41" s="54"/>
      <c r="J41" s="54"/>
    </row>
    <row r="42" spans="3:10" ht="12.75" x14ac:dyDescent="0.2">
      <c r="C42" s="41"/>
      <c r="D42" s="42"/>
      <c r="E42" s="54"/>
      <c r="F42" s="54"/>
      <c r="G42" s="54"/>
      <c r="H42" s="54"/>
      <c r="I42" s="54"/>
      <c r="J42" s="54"/>
    </row>
    <row r="43" spans="3:10" ht="12.75" x14ac:dyDescent="0.2">
      <c r="C43" s="41"/>
      <c r="D43" s="42"/>
      <c r="E43" s="54"/>
      <c r="F43" s="54"/>
      <c r="G43" s="54"/>
      <c r="H43" s="54"/>
      <c r="I43" s="54"/>
      <c r="J43" s="54"/>
    </row>
    <row r="44" spans="3:10" ht="12.75" x14ac:dyDescent="0.2">
      <c r="C44" s="41"/>
      <c r="D44" s="42"/>
      <c r="E44" s="54"/>
      <c r="F44" s="54"/>
      <c r="G44" s="54"/>
      <c r="H44" s="54"/>
      <c r="I44" s="54"/>
      <c r="J44" s="54"/>
    </row>
    <row r="45" spans="3:10" ht="12.75" x14ac:dyDescent="0.2">
      <c r="C45" s="41"/>
      <c r="D45" s="42"/>
      <c r="E45" s="54"/>
      <c r="F45" s="54"/>
      <c r="G45" s="54"/>
      <c r="H45" s="54"/>
      <c r="I45" s="54"/>
      <c r="J45" s="54"/>
    </row>
    <row r="46" spans="3:10" ht="12.75" x14ac:dyDescent="0.2">
      <c r="C46" s="41"/>
      <c r="D46" s="42"/>
      <c r="E46" s="54"/>
      <c r="F46" s="54"/>
      <c r="G46" s="54"/>
      <c r="H46" s="54"/>
      <c r="I46" s="54"/>
      <c r="J46" s="54"/>
    </row>
    <row r="47" spans="3:10" ht="12.75" x14ac:dyDescent="0.2">
      <c r="C47" s="41"/>
      <c r="D47" s="42"/>
      <c r="E47" s="54"/>
      <c r="F47" s="54"/>
      <c r="G47" s="54"/>
      <c r="H47" s="54"/>
      <c r="I47" s="54"/>
      <c r="J47" s="54"/>
    </row>
    <row r="48" spans="3:10" ht="12.75" x14ac:dyDescent="0.2">
      <c r="C48" s="41"/>
    </row>
    <row r="49" spans="3:3" ht="12.75" x14ac:dyDescent="0.2">
      <c r="C49" s="41"/>
    </row>
    <row r="50" spans="3:3" ht="12.75" x14ac:dyDescent="0.2">
      <c r="C50" s="41"/>
    </row>
    <row r="51" spans="3:3" ht="12.75" x14ac:dyDescent="0.2">
      <c r="C51" s="41"/>
    </row>
    <row r="52" spans="3:3" ht="12.75" x14ac:dyDescent="0.2">
      <c r="C52" s="41"/>
    </row>
    <row r="53" spans="3:3" ht="12.75" x14ac:dyDescent="0.2">
      <c r="C53" s="41"/>
    </row>
    <row r="54" spans="3:3" ht="12.75" x14ac:dyDescent="0.2">
      <c r="C54" s="41"/>
    </row>
    <row r="55" spans="3:3" ht="12.75" x14ac:dyDescent="0.2">
      <c r="C55" s="41"/>
    </row>
    <row r="56" spans="3:3" ht="12.75" x14ac:dyDescent="0.2">
      <c r="C56" s="41"/>
    </row>
    <row r="57" spans="3:3" ht="12.75" x14ac:dyDescent="0.2">
      <c r="C57" s="41"/>
    </row>
    <row r="58" spans="3:3" ht="12.75" x14ac:dyDescent="0.2">
      <c r="C58" s="41"/>
    </row>
    <row r="59" spans="3:3" ht="12.75" x14ac:dyDescent="0.2">
      <c r="C59" s="41"/>
    </row>
    <row r="60" spans="3:3" ht="12.75" x14ac:dyDescent="0.2">
      <c r="C60" s="41"/>
    </row>
    <row r="61" spans="3:3" ht="12.75" x14ac:dyDescent="0.2">
      <c r="C61" s="41"/>
    </row>
    <row r="62" spans="3:3" ht="12.75" x14ac:dyDescent="0.2">
      <c r="C62" s="41"/>
    </row>
    <row r="63" spans="3:3" ht="12.75" x14ac:dyDescent="0.2">
      <c r="C63" s="41"/>
    </row>
    <row r="64" spans="3:3" ht="12.75" x14ac:dyDescent="0.2">
      <c r="C64" s="41"/>
    </row>
    <row r="65" spans="3:3" ht="12.75" x14ac:dyDescent="0.2">
      <c r="C65" s="41"/>
    </row>
    <row r="66" spans="3:3" ht="12.75" x14ac:dyDescent="0.2">
      <c r="C66" s="41"/>
    </row>
    <row r="67" spans="3:3" ht="12.75" x14ac:dyDescent="0.2">
      <c r="C67" s="41"/>
    </row>
    <row r="68" spans="3:3" ht="12.75" x14ac:dyDescent="0.2">
      <c r="C68" s="41"/>
    </row>
    <row r="69" spans="3:3" ht="12.75" x14ac:dyDescent="0.2">
      <c r="C69" s="41"/>
    </row>
    <row r="70" spans="3:3" ht="12.75" x14ac:dyDescent="0.2">
      <c r="C70" s="41"/>
    </row>
    <row r="71" spans="3:3" ht="12.75" x14ac:dyDescent="0.2">
      <c r="C71" s="41"/>
    </row>
    <row r="72" spans="3:3" ht="12.75" x14ac:dyDescent="0.2">
      <c r="C72" s="41"/>
    </row>
    <row r="73" spans="3:3" ht="12.75" x14ac:dyDescent="0.2">
      <c r="C73" s="41"/>
    </row>
    <row r="74" spans="3:3" ht="12.75" x14ac:dyDescent="0.2">
      <c r="C74" s="41"/>
    </row>
    <row r="75" spans="3:3" ht="12.75" x14ac:dyDescent="0.2">
      <c r="C75" s="41"/>
    </row>
    <row r="76" spans="3:3" ht="12.75" x14ac:dyDescent="0.2">
      <c r="C76" s="41"/>
    </row>
    <row r="77" spans="3:3" ht="12.75" x14ac:dyDescent="0.2">
      <c r="C77" s="41"/>
    </row>
    <row r="78" spans="3:3" ht="12.75" x14ac:dyDescent="0.2">
      <c r="C78" s="41"/>
    </row>
    <row r="79" spans="3:3" ht="12.75" x14ac:dyDescent="0.2">
      <c r="C79" s="41"/>
    </row>
    <row r="80" spans="3:3" ht="12.75" x14ac:dyDescent="0.2">
      <c r="C80" s="41"/>
    </row>
    <row r="81" spans="3:3" ht="12.75" x14ac:dyDescent="0.2">
      <c r="C81" s="41"/>
    </row>
    <row r="82" spans="3:3" ht="12.75" x14ac:dyDescent="0.2">
      <c r="C82" s="41"/>
    </row>
    <row r="83" spans="3:3" ht="12.75" x14ac:dyDescent="0.2">
      <c r="C83" s="41"/>
    </row>
    <row r="84" spans="3:3" ht="12.75" x14ac:dyDescent="0.2">
      <c r="C84" s="41"/>
    </row>
    <row r="85" spans="3:3" ht="12.75" x14ac:dyDescent="0.2">
      <c r="C85" s="41"/>
    </row>
    <row r="86" spans="3:3" ht="12.75" x14ac:dyDescent="0.2">
      <c r="C86" s="41"/>
    </row>
    <row r="87" spans="3:3" ht="12.75" x14ac:dyDescent="0.2">
      <c r="C87" s="41"/>
    </row>
    <row r="88" spans="3:3" ht="12.75" x14ac:dyDescent="0.2">
      <c r="C88" s="41"/>
    </row>
    <row r="89" spans="3:3" ht="12.75" x14ac:dyDescent="0.2">
      <c r="C89" s="41"/>
    </row>
    <row r="90" spans="3:3" ht="12.75" x14ac:dyDescent="0.2">
      <c r="C90" s="41"/>
    </row>
    <row r="91" spans="3:3" ht="12.75" x14ac:dyDescent="0.2">
      <c r="C91" s="41"/>
    </row>
    <row r="92" spans="3:3" ht="12.75" x14ac:dyDescent="0.2">
      <c r="C92" s="41"/>
    </row>
    <row r="93" spans="3:3" ht="12.75" x14ac:dyDescent="0.2">
      <c r="C93" s="41"/>
    </row>
    <row r="94" spans="3:3" ht="12.75" x14ac:dyDescent="0.2">
      <c r="C94" s="41"/>
    </row>
    <row r="95" spans="3:3" ht="12.75" x14ac:dyDescent="0.2">
      <c r="C95" s="41"/>
    </row>
    <row r="96" spans="3:3" ht="12.75" x14ac:dyDescent="0.2">
      <c r="C96" s="41"/>
    </row>
    <row r="97" spans="3:3" ht="12.75" x14ac:dyDescent="0.2">
      <c r="C97" s="41"/>
    </row>
    <row r="98" spans="3:3" ht="12.75" x14ac:dyDescent="0.2">
      <c r="C98" s="41"/>
    </row>
    <row r="99" spans="3:3" ht="12.75" x14ac:dyDescent="0.2">
      <c r="C99" s="41"/>
    </row>
    <row r="100" spans="3:3" ht="12.75" x14ac:dyDescent="0.2">
      <c r="C100" s="41"/>
    </row>
    <row r="101" spans="3:3" ht="12.75" x14ac:dyDescent="0.2">
      <c r="C101" s="41"/>
    </row>
    <row r="102" spans="3:3" ht="12.75" x14ac:dyDescent="0.2">
      <c r="C102" s="41"/>
    </row>
    <row r="103" spans="3:3" ht="12.75" x14ac:dyDescent="0.2">
      <c r="C103" s="41"/>
    </row>
    <row r="104" spans="3:3" ht="12.75" x14ac:dyDescent="0.2">
      <c r="C104" s="41"/>
    </row>
    <row r="105" spans="3:3" ht="12.75" x14ac:dyDescent="0.2">
      <c r="C105" s="41"/>
    </row>
    <row r="106" spans="3:3" ht="12.75" x14ac:dyDescent="0.2">
      <c r="C106" s="41"/>
    </row>
    <row r="107" spans="3:3" ht="12.75" x14ac:dyDescent="0.2">
      <c r="C107" s="41"/>
    </row>
    <row r="108" spans="3:3" ht="12.75" x14ac:dyDescent="0.2">
      <c r="C108" s="41"/>
    </row>
    <row r="109" spans="3:3" ht="12.75" x14ac:dyDescent="0.2">
      <c r="C109" s="41"/>
    </row>
    <row r="110" spans="3:3" ht="12.75" x14ac:dyDescent="0.2">
      <c r="C110" s="41"/>
    </row>
    <row r="111" spans="3:3" ht="12.75" x14ac:dyDescent="0.2">
      <c r="C111" s="41"/>
    </row>
    <row r="112" spans="3:3" ht="12.75" x14ac:dyDescent="0.2">
      <c r="C112" s="41"/>
    </row>
    <row r="113" spans="3:3" ht="12.75" x14ac:dyDescent="0.2">
      <c r="C113" s="41"/>
    </row>
    <row r="114" spans="3:3" ht="12.75" x14ac:dyDescent="0.2">
      <c r="C114" s="41"/>
    </row>
    <row r="115" spans="3:3" ht="12.75" x14ac:dyDescent="0.2">
      <c r="C115" s="41"/>
    </row>
    <row r="116" spans="3:3" ht="12.75" x14ac:dyDescent="0.2">
      <c r="C116" s="41"/>
    </row>
    <row r="117" spans="3:3" ht="12.75" x14ac:dyDescent="0.2">
      <c r="C117" s="41"/>
    </row>
    <row r="118" spans="3:3" ht="12.75" x14ac:dyDescent="0.2">
      <c r="C118" s="41"/>
    </row>
    <row r="119" spans="3:3" ht="12.75" x14ac:dyDescent="0.2">
      <c r="C119" s="41"/>
    </row>
    <row r="120" spans="3:3" ht="12.75" x14ac:dyDescent="0.2">
      <c r="C120" s="41"/>
    </row>
    <row r="121" spans="3:3" ht="12.75" x14ac:dyDescent="0.2">
      <c r="C121" s="41"/>
    </row>
    <row r="122" spans="3:3" ht="12.75" x14ac:dyDescent="0.2">
      <c r="C122" s="41"/>
    </row>
    <row r="123" spans="3:3" ht="12.75" x14ac:dyDescent="0.2">
      <c r="C123" s="41"/>
    </row>
    <row r="124" spans="3:3" ht="12.75" x14ac:dyDescent="0.2">
      <c r="C124" s="41"/>
    </row>
    <row r="125" spans="3:3" ht="12.75" x14ac:dyDescent="0.2">
      <c r="C125" s="41"/>
    </row>
    <row r="126" spans="3:3" ht="12.75" x14ac:dyDescent="0.2">
      <c r="C126" s="41"/>
    </row>
    <row r="127" spans="3:3" ht="12.75" x14ac:dyDescent="0.2">
      <c r="C127" s="41"/>
    </row>
    <row r="128" spans="3:3" ht="12.75" x14ac:dyDescent="0.2">
      <c r="C128" s="41"/>
    </row>
    <row r="129" spans="3:3" ht="12.75" x14ac:dyDescent="0.2">
      <c r="C129" s="41"/>
    </row>
    <row r="130" spans="3:3" ht="12.75" x14ac:dyDescent="0.2">
      <c r="C130" s="41"/>
    </row>
    <row r="131" spans="3:3" ht="12.75" x14ac:dyDescent="0.2">
      <c r="C131" s="41"/>
    </row>
    <row r="132" spans="3:3" ht="12.75" x14ac:dyDescent="0.2">
      <c r="C132" s="41"/>
    </row>
    <row r="133" spans="3:3" ht="12.75" x14ac:dyDescent="0.2">
      <c r="C133" s="41"/>
    </row>
    <row r="134" spans="3:3" ht="12.75" x14ac:dyDescent="0.2">
      <c r="C134" s="41"/>
    </row>
    <row r="135" spans="3:3" ht="12.75" x14ac:dyDescent="0.2">
      <c r="C135" s="41"/>
    </row>
    <row r="136" spans="3:3" ht="12.75" x14ac:dyDescent="0.2">
      <c r="C136" s="41"/>
    </row>
    <row r="137" spans="3:3" ht="12.75" x14ac:dyDescent="0.2">
      <c r="C137" s="41"/>
    </row>
    <row r="138" spans="3:3" ht="12.75" x14ac:dyDescent="0.2">
      <c r="C138" s="41"/>
    </row>
    <row r="139" spans="3:3" ht="12.75" x14ac:dyDescent="0.2">
      <c r="C139" s="41"/>
    </row>
    <row r="140" spans="3:3" ht="12.75" x14ac:dyDescent="0.2">
      <c r="C140" s="41"/>
    </row>
    <row r="141" spans="3:3" ht="12.75" x14ac:dyDescent="0.2">
      <c r="C141" s="41"/>
    </row>
    <row r="142" spans="3:3" ht="12.75" x14ac:dyDescent="0.2">
      <c r="C142" s="41"/>
    </row>
    <row r="143" spans="3:3" ht="12.75" x14ac:dyDescent="0.2">
      <c r="C143" s="41"/>
    </row>
    <row r="144" spans="3:3" ht="12.75" x14ac:dyDescent="0.2">
      <c r="C144" s="41"/>
    </row>
    <row r="145" spans="3:3" ht="12.75" x14ac:dyDescent="0.2">
      <c r="C145" s="41"/>
    </row>
    <row r="146" spans="3:3" ht="12.75" x14ac:dyDescent="0.2">
      <c r="C146" s="41"/>
    </row>
    <row r="147" spans="3:3" ht="12.75" x14ac:dyDescent="0.2">
      <c r="C147" s="41"/>
    </row>
    <row r="148" spans="3:3" ht="12.75" x14ac:dyDescent="0.2">
      <c r="C148" s="41"/>
    </row>
    <row r="149" spans="3:3" ht="12.75" x14ac:dyDescent="0.2">
      <c r="C149" s="41"/>
    </row>
    <row r="150" spans="3:3" ht="12.75" x14ac:dyDescent="0.2">
      <c r="C150" s="41"/>
    </row>
    <row r="151" spans="3:3" ht="12.75" x14ac:dyDescent="0.2">
      <c r="C151" s="41"/>
    </row>
    <row r="152" spans="3:3" ht="12.75" x14ac:dyDescent="0.2">
      <c r="C152" s="41"/>
    </row>
    <row r="153" spans="3:3" ht="12.75" x14ac:dyDescent="0.2">
      <c r="C153" s="41"/>
    </row>
    <row r="154" spans="3:3" ht="12.75" x14ac:dyDescent="0.2">
      <c r="C154" s="41"/>
    </row>
    <row r="155" spans="3:3" ht="12.75" x14ac:dyDescent="0.2">
      <c r="C155" s="41"/>
    </row>
    <row r="156" spans="3:3" ht="12.75" x14ac:dyDescent="0.2">
      <c r="C156" s="41"/>
    </row>
    <row r="157" spans="3:3" ht="12.75" x14ac:dyDescent="0.2">
      <c r="C157" s="41"/>
    </row>
    <row r="158" spans="3:3" ht="12.75" x14ac:dyDescent="0.2">
      <c r="C158" s="41"/>
    </row>
    <row r="159" spans="3:3" ht="12.75" x14ac:dyDescent="0.2">
      <c r="C159" s="41"/>
    </row>
    <row r="160" spans="3:3" ht="12.75" x14ac:dyDescent="0.2">
      <c r="C160" s="41"/>
    </row>
    <row r="161" spans="3:3" ht="12.75" x14ac:dyDescent="0.2">
      <c r="C161" s="41"/>
    </row>
    <row r="162" spans="3:3" ht="12.75" x14ac:dyDescent="0.2">
      <c r="C162" s="41"/>
    </row>
    <row r="163" spans="3:3" ht="12.75" x14ac:dyDescent="0.2">
      <c r="C163" s="41"/>
    </row>
    <row r="164" spans="3:3" ht="12.75" x14ac:dyDescent="0.2">
      <c r="C164" s="41"/>
    </row>
    <row r="165" spans="3:3" ht="12.75" x14ac:dyDescent="0.2">
      <c r="C165" s="41"/>
    </row>
    <row r="166" spans="3:3" ht="12.75" x14ac:dyDescent="0.2">
      <c r="C166" s="41"/>
    </row>
    <row r="167" spans="3:3" ht="12.75" x14ac:dyDescent="0.2">
      <c r="C167" s="41"/>
    </row>
    <row r="168" spans="3:3" ht="12.75" x14ac:dyDescent="0.2">
      <c r="C168" s="41"/>
    </row>
    <row r="169" spans="3:3" ht="12.75" x14ac:dyDescent="0.2">
      <c r="C169" s="41"/>
    </row>
    <row r="170" spans="3:3" ht="12.75" x14ac:dyDescent="0.2">
      <c r="C170" s="41"/>
    </row>
    <row r="171" spans="3:3" ht="12.75" x14ac:dyDescent="0.2">
      <c r="C171" s="41"/>
    </row>
    <row r="172" spans="3:3" ht="12.75" x14ac:dyDescent="0.2">
      <c r="C172" s="41"/>
    </row>
    <row r="173" spans="3:3" ht="12.75" x14ac:dyDescent="0.2">
      <c r="C173" s="41"/>
    </row>
    <row r="174" spans="3:3" ht="12.75" x14ac:dyDescent="0.2">
      <c r="C174" s="41"/>
    </row>
    <row r="175" spans="3:3" ht="12.75" x14ac:dyDescent="0.2">
      <c r="C175" s="41"/>
    </row>
    <row r="176" spans="3:3" ht="12.75" x14ac:dyDescent="0.2">
      <c r="C176" s="41"/>
    </row>
    <row r="177" spans="3:3" ht="12.75" x14ac:dyDescent="0.2">
      <c r="C177" s="41"/>
    </row>
    <row r="178" spans="3:3" ht="12.75" x14ac:dyDescent="0.2">
      <c r="C178" s="41"/>
    </row>
    <row r="179" spans="3:3" ht="12.75" x14ac:dyDescent="0.2">
      <c r="C179" s="41"/>
    </row>
    <row r="180" spans="3:3" ht="12.75" x14ac:dyDescent="0.2">
      <c r="C180" s="41"/>
    </row>
    <row r="181" spans="3:3" ht="12.75" x14ac:dyDescent="0.2">
      <c r="C181" s="41"/>
    </row>
    <row r="182" spans="3:3" ht="12.75" x14ac:dyDescent="0.2">
      <c r="C182" s="41"/>
    </row>
    <row r="183" spans="3:3" ht="12.75" x14ac:dyDescent="0.2">
      <c r="C183" s="41"/>
    </row>
    <row r="184" spans="3:3" ht="12.75" x14ac:dyDescent="0.2">
      <c r="C184" s="41"/>
    </row>
    <row r="185" spans="3:3" ht="12.75" x14ac:dyDescent="0.2">
      <c r="C185" s="41"/>
    </row>
    <row r="186" spans="3:3" ht="12.75" x14ac:dyDescent="0.2">
      <c r="C186" s="41"/>
    </row>
    <row r="187" spans="3:3" ht="12.75" x14ac:dyDescent="0.2">
      <c r="C187" s="41"/>
    </row>
    <row r="188" spans="3:3" ht="12.75" x14ac:dyDescent="0.2">
      <c r="C188" s="41"/>
    </row>
    <row r="189" spans="3:3" ht="12.75" x14ac:dyDescent="0.2">
      <c r="C189" s="41"/>
    </row>
    <row r="190" spans="3:3" ht="12.75" x14ac:dyDescent="0.2">
      <c r="C190" s="41"/>
    </row>
    <row r="191" spans="3:3" ht="12.75" x14ac:dyDescent="0.2">
      <c r="C191" s="41"/>
    </row>
    <row r="192" spans="3:3" ht="12.75" x14ac:dyDescent="0.2">
      <c r="C192" s="41"/>
    </row>
    <row r="193" spans="3:3" ht="12.75" x14ac:dyDescent="0.2">
      <c r="C193" s="41"/>
    </row>
    <row r="194" spans="3:3" ht="12.75" x14ac:dyDescent="0.2">
      <c r="C194" s="41"/>
    </row>
    <row r="195" spans="3:3" ht="12.75" x14ac:dyDescent="0.2">
      <c r="C195" s="41"/>
    </row>
    <row r="196" spans="3:3" ht="12.75" x14ac:dyDescent="0.2">
      <c r="C196" s="41"/>
    </row>
    <row r="197" spans="3:3" ht="12.75" x14ac:dyDescent="0.2">
      <c r="C197" s="41"/>
    </row>
    <row r="198" spans="3:3" ht="12.75" x14ac:dyDescent="0.2">
      <c r="C198" s="41"/>
    </row>
    <row r="199" spans="3:3" ht="12.75" x14ac:dyDescent="0.2">
      <c r="C199" s="41"/>
    </row>
    <row r="200" spans="3:3" ht="12.75" x14ac:dyDescent="0.2">
      <c r="C200" s="41"/>
    </row>
    <row r="201" spans="3:3" ht="12.75" x14ac:dyDescent="0.2">
      <c r="C201" s="41"/>
    </row>
    <row r="202" spans="3:3" ht="12.75" x14ac:dyDescent="0.2">
      <c r="C202" s="41"/>
    </row>
    <row r="203" spans="3:3" ht="12.75" x14ac:dyDescent="0.2">
      <c r="C203" s="41"/>
    </row>
    <row r="204" spans="3:3" ht="12.75" x14ac:dyDescent="0.2">
      <c r="C204" s="41"/>
    </row>
    <row r="205" spans="3:3" ht="12.75" x14ac:dyDescent="0.2">
      <c r="C205" s="41"/>
    </row>
    <row r="206" spans="3:3" ht="12.75" x14ac:dyDescent="0.2">
      <c r="C206" s="41"/>
    </row>
    <row r="207" spans="3:3" ht="12.75" x14ac:dyDescent="0.2">
      <c r="C207" s="41"/>
    </row>
    <row r="208" spans="3:3" ht="12.75" x14ac:dyDescent="0.2">
      <c r="C208" s="41"/>
    </row>
    <row r="209" spans="3:3" ht="12.75" x14ac:dyDescent="0.2">
      <c r="C209" s="41"/>
    </row>
    <row r="210" spans="3:3" ht="12.75" x14ac:dyDescent="0.2">
      <c r="C210" s="41"/>
    </row>
    <row r="211" spans="3:3" ht="12.75" x14ac:dyDescent="0.2">
      <c r="C211" s="41"/>
    </row>
    <row r="212" spans="3:3" ht="12.75" x14ac:dyDescent="0.2">
      <c r="C212" s="41"/>
    </row>
    <row r="213" spans="3:3" ht="12.75" x14ac:dyDescent="0.2">
      <c r="C213" s="41"/>
    </row>
    <row r="214" spans="3:3" ht="12.75" x14ac:dyDescent="0.2">
      <c r="C214" s="41"/>
    </row>
    <row r="215" spans="3:3" ht="12.75" x14ac:dyDescent="0.2">
      <c r="C215" s="41"/>
    </row>
    <row r="216" spans="3:3" ht="12.75" x14ac:dyDescent="0.2">
      <c r="C216" s="41"/>
    </row>
    <row r="217" spans="3:3" ht="12.75" x14ac:dyDescent="0.2">
      <c r="C217" s="41"/>
    </row>
    <row r="218" spans="3:3" ht="12.75" x14ac:dyDescent="0.2">
      <c r="C218" s="41"/>
    </row>
    <row r="219" spans="3:3" ht="12.75" x14ac:dyDescent="0.2">
      <c r="C219" s="41"/>
    </row>
    <row r="220" spans="3:3" ht="12.75" x14ac:dyDescent="0.2">
      <c r="C220" s="41"/>
    </row>
    <row r="221" spans="3:3" ht="12.75" x14ac:dyDescent="0.2">
      <c r="C221" s="41"/>
    </row>
    <row r="222" spans="3:3" ht="12.75" x14ac:dyDescent="0.2">
      <c r="C222" s="41"/>
    </row>
    <row r="223" spans="3:3" ht="12.75" x14ac:dyDescent="0.2">
      <c r="C223" s="41"/>
    </row>
    <row r="224" spans="3:3" ht="12.75" x14ac:dyDescent="0.2">
      <c r="C224" s="41"/>
    </row>
    <row r="225" spans="3:3" ht="12.75" x14ac:dyDescent="0.2">
      <c r="C225" s="41"/>
    </row>
    <row r="226" spans="3:3" ht="12.75" x14ac:dyDescent="0.2">
      <c r="C226" s="41"/>
    </row>
    <row r="227" spans="3:3" ht="12.75" x14ac:dyDescent="0.2">
      <c r="C227" s="41"/>
    </row>
    <row r="228" spans="3:3" ht="12.75" x14ac:dyDescent="0.2">
      <c r="C228" s="41"/>
    </row>
    <row r="229" spans="3:3" ht="12.75" x14ac:dyDescent="0.2">
      <c r="C229" s="41"/>
    </row>
    <row r="230" spans="3:3" ht="12.75" x14ac:dyDescent="0.2">
      <c r="C230" s="41"/>
    </row>
    <row r="231" spans="3:3" ht="12.75" x14ac:dyDescent="0.2">
      <c r="C231" s="41"/>
    </row>
    <row r="232" spans="3:3" ht="12.75" x14ac:dyDescent="0.2">
      <c r="C232" s="41"/>
    </row>
    <row r="233" spans="3:3" ht="12.75" x14ac:dyDescent="0.2">
      <c r="C233" s="41"/>
    </row>
    <row r="234" spans="3:3" ht="12.75" x14ac:dyDescent="0.2">
      <c r="C234" s="41"/>
    </row>
    <row r="235" spans="3:3" ht="12.75" x14ac:dyDescent="0.2">
      <c r="C235" s="41"/>
    </row>
    <row r="236" spans="3:3" ht="12.75" x14ac:dyDescent="0.2">
      <c r="C236" s="41"/>
    </row>
    <row r="237" spans="3:3" ht="12.75" x14ac:dyDescent="0.2">
      <c r="C237" s="41"/>
    </row>
    <row r="238" spans="3:3" ht="12.75" x14ac:dyDescent="0.2">
      <c r="C238" s="41"/>
    </row>
    <row r="239" spans="3:3" ht="12.75" x14ac:dyDescent="0.2">
      <c r="C239" s="41"/>
    </row>
    <row r="240" spans="3:3" ht="12.75" x14ac:dyDescent="0.2">
      <c r="C240" s="41"/>
    </row>
    <row r="241" spans="3:3" ht="12.75" x14ac:dyDescent="0.2">
      <c r="C241" s="41"/>
    </row>
    <row r="242" spans="3:3" ht="12.75" x14ac:dyDescent="0.2">
      <c r="C242" s="41"/>
    </row>
    <row r="243" spans="3:3" ht="12.75" x14ac:dyDescent="0.2">
      <c r="C243" s="41"/>
    </row>
    <row r="244" spans="3:3" ht="12.75" x14ac:dyDescent="0.2">
      <c r="C244" s="41"/>
    </row>
    <row r="245" spans="3:3" ht="12.75" x14ac:dyDescent="0.2">
      <c r="C245" s="41"/>
    </row>
    <row r="246" spans="3:3" ht="12.75" x14ac:dyDescent="0.2">
      <c r="C246" s="41"/>
    </row>
    <row r="247" spans="3:3" ht="12.75" x14ac:dyDescent="0.2">
      <c r="C247" s="41"/>
    </row>
    <row r="248" spans="3:3" ht="12.75" x14ac:dyDescent="0.2">
      <c r="C248" s="41"/>
    </row>
    <row r="249" spans="3:3" ht="12.75" x14ac:dyDescent="0.2">
      <c r="C249" s="41"/>
    </row>
    <row r="250" spans="3:3" ht="12.75" x14ac:dyDescent="0.2">
      <c r="C250" s="41"/>
    </row>
    <row r="251" spans="3:3" ht="12.75" x14ac:dyDescent="0.2">
      <c r="C251" s="41"/>
    </row>
    <row r="252" spans="3:3" ht="12.75" x14ac:dyDescent="0.2">
      <c r="C252" s="41"/>
    </row>
    <row r="253" spans="3:3" ht="12.75" x14ac:dyDescent="0.2">
      <c r="C253" s="41"/>
    </row>
    <row r="254" spans="3:3" ht="12.75" x14ac:dyDescent="0.2">
      <c r="C254" s="41"/>
    </row>
    <row r="255" spans="3:3" ht="12.75" x14ac:dyDescent="0.2">
      <c r="C255" s="41"/>
    </row>
    <row r="256" spans="3:3" ht="12.75" x14ac:dyDescent="0.2">
      <c r="C256" s="41"/>
    </row>
    <row r="257" spans="3:3" ht="12.75" x14ac:dyDescent="0.2">
      <c r="C257" s="41"/>
    </row>
    <row r="258" spans="3:3" ht="12.75" x14ac:dyDescent="0.2">
      <c r="C258" s="41"/>
    </row>
    <row r="259" spans="3:3" ht="12.75" x14ac:dyDescent="0.2">
      <c r="C259" s="41"/>
    </row>
    <row r="260" spans="3:3" ht="12.75" x14ac:dyDescent="0.2">
      <c r="C260" s="41"/>
    </row>
    <row r="261" spans="3:3" ht="12.75" x14ac:dyDescent="0.2">
      <c r="C261" s="41"/>
    </row>
    <row r="262" spans="3:3" ht="12.75" x14ac:dyDescent="0.2">
      <c r="C262" s="41"/>
    </row>
    <row r="263" spans="3:3" ht="12.75" x14ac:dyDescent="0.2">
      <c r="C263" s="41"/>
    </row>
    <row r="264" spans="3:3" ht="12.75" x14ac:dyDescent="0.2">
      <c r="C264" s="41"/>
    </row>
    <row r="265" spans="3:3" ht="12.75" x14ac:dyDescent="0.2">
      <c r="C265" s="41"/>
    </row>
    <row r="266" spans="3:3" ht="12.75" x14ac:dyDescent="0.2">
      <c r="C266" s="41"/>
    </row>
    <row r="267" spans="3:3" ht="12.75" x14ac:dyDescent="0.2">
      <c r="C267" s="41"/>
    </row>
    <row r="268" spans="3:3" ht="12.75" x14ac:dyDescent="0.2">
      <c r="C268" s="41"/>
    </row>
    <row r="269" spans="3:3" ht="12.75" x14ac:dyDescent="0.2">
      <c r="C269" s="41"/>
    </row>
    <row r="270" spans="3:3" ht="12.75" x14ac:dyDescent="0.2">
      <c r="C270" s="41"/>
    </row>
    <row r="271" spans="3:3" ht="12.75" x14ac:dyDescent="0.2">
      <c r="C271" s="41"/>
    </row>
    <row r="272" spans="3:3" ht="12.75" x14ac:dyDescent="0.2">
      <c r="C272" s="41"/>
    </row>
    <row r="273" spans="3:3" ht="12.75" x14ac:dyDescent="0.2">
      <c r="C273" s="41"/>
    </row>
    <row r="274" spans="3:3" ht="12.75" x14ac:dyDescent="0.2">
      <c r="C274" s="41"/>
    </row>
    <row r="275" spans="3:3" ht="12.75" x14ac:dyDescent="0.2">
      <c r="C275" s="41"/>
    </row>
    <row r="276" spans="3:3" ht="12.75" x14ac:dyDescent="0.2">
      <c r="C276" s="41"/>
    </row>
    <row r="277" spans="3:3" ht="12.75" x14ac:dyDescent="0.2">
      <c r="C277" s="41"/>
    </row>
    <row r="278" spans="3:3" ht="12.75" x14ac:dyDescent="0.2">
      <c r="C278" s="41"/>
    </row>
    <row r="279" spans="3:3" ht="12.75" x14ac:dyDescent="0.2">
      <c r="C279" s="41"/>
    </row>
    <row r="280" spans="3:3" ht="12.75" x14ac:dyDescent="0.2">
      <c r="C280" s="41"/>
    </row>
    <row r="281" spans="3:3" ht="12.75" x14ac:dyDescent="0.2">
      <c r="C281" s="41"/>
    </row>
    <row r="282" spans="3:3" ht="12.75" x14ac:dyDescent="0.2">
      <c r="C282" s="41"/>
    </row>
    <row r="283" spans="3:3" ht="12.75" x14ac:dyDescent="0.2">
      <c r="C283" s="41"/>
    </row>
    <row r="284" spans="3:3" ht="12.75" x14ac:dyDescent="0.2">
      <c r="C284" s="41"/>
    </row>
    <row r="285" spans="3:3" ht="12.75" x14ac:dyDescent="0.2">
      <c r="C285" s="41"/>
    </row>
    <row r="286" spans="3:3" ht="12.75" x14ac:dyDescent="0.2">
      <c r="C286" s="41"/>
    </row>
    <row r="287" spans="3:3" ht="12.75" x14ac:dyDescent="0.2">
      <c r="C287" s="41"/>
    </row>
    <row r="288" spans="3:3" ht="12.75" x14ac:dyDescent="0.2">
      <c r="C288" s="41"/>
    </row>
    <row r="289" spans="3:3" ht="12.75" x14ac:dyDescent="0.2">
      <c r="C289" s="41"/>
    </row>
    <row r="290" spans="3:3" ht="12.75" x14ac:dyDescent="0.2">
      <c r="C290" s="41"/>
    </row>
    <row r="291" spans="3:3" ht="12.75" x14ac:dyDescent="0.2">
      <c r="C291" s="41"/>
    </row>
    <row r="292" spans="3:3" ht="12.75" x14ac:dyDescent="0.2">
      <c r="C292" s="41"/>
    </row>
    <row r="293" spans="3:3" ht="12.75" x14ac:dyDescent="0.2">
      <c r="C293" s="41"/>
    </row>
    <row r="294" spans="3:3" ht="12.75" x14ac:dyDescent="0.2">
      <c r="C294" s="41"/>
    </row>
    <row r="295" spans="3:3" ht="12.75" x14ac:dyDescent="0.2">
      <c r="C295" s="41"/>
    </row>
    <row r="296" spans="3:3" ht="12.75" x14ac:dyDescent="0.2">
      <c r="C296" s="41"/>
    </row>
    <row r="297" spans="3:3" ht="12.75" x14ac:dyDescent="0.2">
      <c r="C297" s="41"/>
    </row>
    <row r="298" spans="3:3" ht="12.75" x14ac:dyDescent="0.2">
      <c r="C298" s="41"/>
    </row>
    <row r="299" spans="3:3" ht="12.75" x14ac:dyDescent="0.2">
      <c r="C299" s="41"/>
    </row>
    <row r="300" spans="3:3" ht="12.75" x14ac:dyDescent="0.2">
      <c r="C300" s="41"/>
    </row>
    <row r="301" spans="3:3" ht="12.75" x14ac:dyDescent="0.2">
      <c r="C301" s="41"/>
    </row>
    <row r="302" spans="3:3" ht="12.75" x14ac:dyDescent="0.2">
      <c r="C302" s="41"/>
    </row>
    <row r="303" spans="3:3" ht="12.75" x14ac:dyDescent="0.2">
      <c r="C303" s="41"/>
    </row>
    <row r="304" spans="3:3" ht="12.75" x14ac:dyDescent="0.2">
      <c r="C304" s="41"/>
    </row>
    <row r="305" spans="3:3" ht="12.75" x14ac:dyDescent="0.2">
      <c r="C305" s="41"/>
    </row>
    <row r="306" spans="3:3" ht="12.75" x14ac:dyDescent="0.2">
      <c r="C306" s="41"/>
    </row>
    <row r="307" spans="3:3" ht="12.75" x14ac:dyDescent="0.2">
      <c r="C307" s="41"/>
    </row>
    <row r="308" spans="3:3" ht="12.75" x14ac:dyDescent="0.2">
      <c r="C308" s="41"/>
    </row>
    <row r="309" spans="3:3" ht="12.75" x14ac:dyDescent="0.2">
      <c r="C309" s="41"/>
    </row>
    <row r="310" spans="3:3" ht="12.75" x14ac:dyDescent="0.2">
      <c r="C310" s="41"/>
    </row>
    <row r="311" spans="3:3" ht="12.75" x14ac:dyDescent="0.2">
      <c r="C311" s="41"/>
    </row>
    <row r="312" spans="3:3" ht="12.75" x14ac:dyDescent="0.2">
      <c r="C312" s="41"/>
    </row>
    <row r="313" spans="3:3" ht="12.75" x14ac:dyDescent="0.2">
      <c r="C313" s="41"/>
    </row>
    <row r="314" spans="3:3" ht="12.75" x14ac:dyDescent="0.2">
      <c r="C314" s="41"/>
    </row>
    <row r="315" spans="3:3" ht="12.75" x14ac:dyDescent="0.2">
      <c r="C315" s="41"/>
    </row>
    <row r="316" spans="3:3" ht="12.75" x14ac:dyDescent="0.2">
      <c r="C316" s="41"/>
    </row>
    <row r="317" spans="3:3" ht="12.75" x14ac:dyDescent="0.2">
      <c r="C317" s="41"/>
    </row>
    <row r="318" spans="3:3" ht="12.75" x14ac:dyDescent="0.2">
      <c r="C318" s="41"/>
    </row>
    <row r="319" spans="3:3" ht="12.75" x14ac:dyDescent="0.2">
      <c r="C319" s="41"/>
    </row>
    <row r="320" spans="3:3" ht="12.75" x14ac:dyDescent="0.2">
      <c r="C320" s="41"/>
    </row>
    <row r="321" spans="3:3" ht="12.75" x14ac:dyDescent="0.2">
      <c r="C321" s="41"/>
    </row>
    <row r="322" spans="3:3" ht="12.75" x14ac:dyDescent="0.2">
      <c r="C322" s="41"/>
    </row>
    <row r="323" spans="3:3" ht="12.75" x14ac:dyDescent="0.2">
      <c r="C323" s="41"/>
    </row>
    <row r="324" spans="3:3" ht="12.75" x14ac:dyDescent="0.2">
      <c r="C324" s="41"/>
    </row>
    <row r="325" spans="3:3" ht="12.75" x14ac:dyDescent="0.2">
      <c r="C325" s="41"/>
    </row>
    <row r="326" spans="3:3" ht="12.75" x14ac:dyDescent="0.2">
      <c r="C326" s="41"/>
    </row>
    <row r="327" spans="3:3" ht="12.75" x14ac:dyDescent="0.2">
      <c r="C327" s="41"/>
    </row>
    <row r="328" spans="3:3" ht="12.75" x14ac:dyDescent="0.2">
      <c r="C328" s="41"/>
    </row>
    <row r="329" spans="3:3" ht="12.75" x14ac:dyDescent="0.2">
      <c r="C329" s="41"/>
    </row>
    <row r="330" spans="3:3" ht="12.75" x14ac:dyDescent="0.2">
      <c r="C330" s="41"/>
    </row>
    <row r="331" spans="3:3" ht="12.75" x14ac:dyDescent="0.2">
      <c r="C331" s="41"/>
    </row>
    <row r="332" spans="3:3" ht="12.75" x14ac:dyDescent="0.2">
      <c r="C332" s="41"/>
    </row>
    <row r="333" spans="3:3" ht="12.75" x14ac:dyDescent="0.2">
      <c r="C333" s="41"/>
    </row>
    <row r="334" spans="3:3" ht="12.75" x14ac:dyDescent="0.2">
      <c r="C334" s="41"/>
    </row>
    <row r="335" spans="3:3" ht="12.75" x14ac:dyDescent="0.2">
      <c r="C335" s="41"/>
    </row>
    <row r="336" spans="3:3" ht="12.75" x14ac:dyDescent="0.2">
      <c r="C336" s="41"/>
    </row>
    <row r="337" spans="3:3" ht="12.75" x14ac:dyDescent="0.2">
      <c r="C337" s="41"/>
    </row>
    <row r="338" spans="3:3" ht="12.75" x14ac:dyDescent="0.2">
      <c r="C338" s="41"/>
    </row>
    <row r="339" spans="3:3" ht="12.75" x14ac:dyDescent="0.2">
      <c r="C339" s="41"/>
    </row>
    <row r="340" spans="3:3" ht="12.75" x14ac:dyDescent="0.2">
      <c r="C340" s="41"/>
    </row>
    <row r="341" spans="3:3" ht="12.75" x14ac:dyDescent="0.2">
      <c r="C341" s="41"/>
    </row>
    <row r="342" spans="3:3" ht="12.75" x14ac:dyDescent="0.2">
      <c r="C342" s="41"/>
    </row>
    <row r="343" spans="3:3" ht="12.75" x14ac:dyDescent="0.2">
      <c r="C343" s="41"/>
    </row>
    <row r="344" spans="3:3" ht="12.75" x14ac:dyDescent="0.2">
      <c r="C344" s="41"/>
    </row>
    <row r="345" spans="3:3" ht="12.75" x14ac:dyDescent="0.2">
      <c r="C345" s="41"/>
    </row>
    <row r="346" spans="3:3" ht="12.75" x14ac:dyDescent="0.2">
      <c r="C346" s="41"/>
    </row>
    <row r="347" spans="3:3" ht="12.75" x14ac:dyDescent="0.2">
      <c r="C347" s="41"/>
    </row>
    <row r="348" spans="3:3" ht="12.75" x14ac:dyDescent="0.2">
      <c r="C348" s="41"/>
    </row>
    <row r="349" spans="3:3" ht="12.75" x14ac:dyDescent="0.2">
      <c r="C349" s="41"/>
    </row>
    <row r="350" spans="3:3" ht="12.75" x14ac:dyDescent="0.2">
      <c r="C350" s="41"/>
    </row>
    <row r="351" spans="3:3" ht="12.75" x14ac:dyDescent="0.2">
      <c r="C351" s="41"/>
    </row>
    <row r="352" spans="3:3" ht="12.75" x14ac:dyDescent="0.2">
      <c r="C352" s="41"/>
    </row>
    <row r="353" spans="3:3" ht="12.75" x14ac:dyDescent="0.2">
      <c r="C353" s="41"/>
    </row>
    <row r="354" spans="3:3" ht="12.75" x14ac:dyDescent="0.2">
      <c r="C354" s="41"/>
    </row>
    <row r="355" spans="3:3" ht="12.75" x14ac:dyDescent="0.2">
      <c r="C355" s="41"/>
    </row>
    <row r="356" spans="3:3" ht="12.75" x14ac:dyDescent="0.2">
      <c r="C356" s="41"/>
    </row>
    <row r="357" spans="3:3" ht="12.75" x14ac:dyDescent="0.2">
      <c r="C357" s="41"/>
    </row>
    <row r="358" spans="3:3" ht="12.75" x14ac:dyDescent="0.2">
      <c r="C358" s="41"/>
    </row>
    <row r="359" spans="3:3" ht="12.75" x14ac:dyDescent="0.2">
      <c r="C359" s="41"/>
    </row>
    <row r="360" spans="3:3" ht="12.75" x14ac:dyDescent="0.2">
      <c r="C360" s="41"/>
    </row>
    <row r="361" spans="3:3" ht="12.75" x14ac:dyDescent="0.2">
      <c r="C361" s="41"/>
    </row>
    <row r="362" spans="3:3" ht="12.75" x14ac:dyDescent="0.2">
      <c r="C362" s="41"/>
    </row>
    <row r="363" spans="3:3" ht="12.75" x14ac:dyDescent="0.2">
      <c r="C363" s="41"/>
    </row>
    <row r="364" spans="3:3" ht="12.75" x14ac:dyDescent="0.2">
      <c r="C364" s="41"/>
    </row>
    <row r="365" spans="3:3" ht="12.75" x14ac:dyDescent="0.2">
      <c r="C365" s="41"/>
    </row>
    <row r="366" spans="3:3" ht="12.75" x14ac:dyDescent="0.2">
      <c r="C366" s="41"/>
    </row>
    <row r="367" spans="3:3" ht="12.75" x14ac:dyDescent="0.2">
      <c r="C367" s="41"/>
    </row>
    <row r="368" spans="3:3" ht="12.75" x14ac:dyDescent="0.2">
      <c r="C368" s="41"/>
    </row>
    <row r="369" spans="3:3" ht="12.75" x14ac:dyDescent="0.2">
      <c r="C369" s="41"/>
    </row>
    <row r="370" spans="3:3" ht="12.75" x14ac:dyDescent="0.2">
      <c r="C370" s="41"/>
    </row>
    <row r="371" spans="3:3" ht="12.75" x14ac:dyDescent="0.2">
      <c r="C371" s="41"/>
    </row>
    <row r="372" spans="3:3" ht="12.75" x14ac:dyDescent="0.2">
      <c r="C372" s="41"/>
    </row>
    <row r="373" spans="3:3" ht="12.75" x14ac:dyDescent="0.2">
      <c r="C373" s="41"/>
    </row>
    <row r="374" spans="3:3" ht="12.75" x14ac:dyDescent="0.2">
      <c r="C374" s="41"/>
    </row>
    <row r="375" spans="3:3" ht="12.75" x14ac:dyDescent="0.2">
      <c r="C375" s="41"/>
    </row>
    <row r="376" spans="3:3" ht="12.75" x14ac:dyDescent="0.2">
      <c r="C376" s="41"/>
    </row>
    <row r="377" spans="3:3" ht="12.75" x14ac:dyDescent="0.2">
      <c r="C377" s="41"/>
    </row>
    <row r="378" spans="3:3" ht="12.75" x14ac:dyDescent="0.2">
      <c r="C378" s="41"/>
    </row>
    <row r="379" spans="3:3" ht="12.75" x14ac:dyDescent="0.2">
      <c r="C379" s="41"/>
    </row>
    <row r="380" spans="3:3" ht="12.75" x14ac:dyDescent="0.2">
      <c r="C380" s="41"/>
    </row>
    <row r="381" spans="3:3" ht="12.75" x14ac:dyDescent="0.2">
      <c r="C381" s="41"/>
    </row>
    <row r="382" spans="3:3" ht="12.75" x14ac:dyDescent="0.2">
      <c r="C382" s="41"/>
    </row>
    <row r="383" spans="3:3" ht="12.75" x14ac:dyDescent="0.2">
      <c r="C383" s="41"/>
    </row>
    <row r="384" spans="3:3" ht="12.75" x14ac:dyDescent="0.2">
      <c r="C384" s="41"/>
    </row>
    <row r="385" spans="3:3" ht="12.75" x14ac:dyDescent="0.2">
      <c r="C385" s="41"/>
    </row>
    <row r="386" spans="3:3" ht="12.75" x14ac:dyDescent="0.2">
      <c r="C386" s="41"/>
    </row>
    <row r="387" spans="3:3" ht="12.75" x14ac:dyDescent="0.2">
      <c r="C387" s="41"/>
    </row>
    <row r="388" spans="3:3" ht="12.75" x14ac:dyDescent="0.2">
      <c r="C388" s="41"/>
    </row>
    <row r="389" spans="3:3" ht="12.75" x14ac:dyDescent="0.2">
      <c r="C389" s="41"/>
    </row>
    <row r="390" spans="3:3" ht="12.75" x14ac:dyDescent="0.2">
      <c r="C390" s="41"/>
    </row>
    <row r="391" spans="3:3" ht="12.75" x14ac:dyDescent="0.2">
      <c r="C391" s="41"/>
    </row>
    <row r="392" spans="3:3" ht="12.75" x14ac:dyDescent="0.2">
      <c r="C392" s="41"/>
    </row>
    <row r="393" spans="3:3" ht="12.75" x14ac:dyDescent="0.2">
      <c r="C393" s="41"/>
    </row>
    <row r="394" spans="3:3" ht="12.75" x14ac:dyDescent="0.2">
      <c r="C394" s="41"/>
    </row>
    <row r="395" spans="3:3" ht="12.75" x14ac:dyDescent="0.2">
      <c r="C395" s="41"/>
    </row>
    <row r="396" spans="3:3" ht="12.75" x14ac:dyDescent="0.2">
      <c r="C396" s="41"/>
    </row>
    <row r="397" spans="3:3" ht="12.75" x14ac:dyDescent="0.2">
      <c r="C397" s="41"/>
    </row>
    <row r="398" spans="3:3" ht="12.75" x14ac:dyDescent="0.2">
      <c r="C398" s="41"/>
    </row>
    <row r="399" spans="3:3" ht="12.75" x14ac:dyDescent="0.2">
      <c r="C399" s="41"/>
    </row>
    <row r="400" spans="3:3" ht="12.75" x14ac:dyDescent="0.2">
      <c r="C400" s="41"/>
    </row>
    <row r="401" spans="3:3" ht="12.75" x14ac:dyDescent="0.2">
      <c r="C401" s="41"/>
    </row>
    <row r="402" spans="3:3" ht="12.75" x14ac:dyDescent="0.2">
      <c r="C402" s="41"/>
    </row>
    <row r="403" spans="3:3" ht="12.75" x14ac:dyDescent="0.2">
      <c r="C403" s="41"/>
    </row>
    <row r="404" spans="3:3" ht="12.75" x14ac:dyDescent="0.2">
      <c r="C404" s="41"/>
    </row>
    <row r="405" spans="3:3" ht="12.75" x14ac:dyDescent="0.2">
      <c r="C405" s="41"/>
    </row>
    <row r="406" spans="3:3" ht="12.75" x14ac:dyDescent="0.2">
      <c r="C406" s="41"/>
    </row>
    <row r="407" spans="3:3" ht="12.75" x14ac:dyDescent="0.2">
      <c r="C407" s="41"/>
    </row>
    <row r="408" spans="3:3" ht="12.75" x14ac:dyDescent="0.2">
      <c r="C408" s="41"/>
    </row>
    <row r="409" spans="3:3" ht="12.75" x14ac:dyDescent="0.2">
      <c r="C409" s="41"/>
    </row>
    <row r="410" spans="3:3" ht="12.75" x14ac:dyDescent="0.2">
      <c r="C410" s="41"/>
    </row>
    <row r="411" spans="3:3" ht="12.75" x14ac:dyDescent="0.2">
      <c r="C411" s="41"/>
    </row>
    <row r="412" spans="3:3" ht="12.75" x14ac:dyDescent="0.2">
      <c r="C412" s="41"/>
    </row>
    <row r="413" spans="3:3" ht="12.75" x14ac:dyDescent="0.2">
      <c r="C413" s="41"/>
    </row>
    <row r="414" spans="3:3" ht="12.75" x14ac:dyDescent="0.2">
      <c r="C414" s="41"/>
    </row>
    <row r="415" spans="3:3" ht="12.75" x14ac:dyDescent="0.2">
      <c r="C415" s="41"/>
    </row>
    <row r="416" spans="3:3" ht="12.75" x14ac:dyDescent="0.2">
      <c r="C416" s="41"/>
    </row>
    <row r="417" spans="3:3" ht="12.75" x14ac:dyDescent="0.2">
      <c r="C417" s="41"/>
    </row>
    <row r="418" spans="3:3" ht="12.75" x14ac:dyDescent="0.2">
      <c r="C418" s="41"/>
    </row>
    <row r="419" spans="3:3" ht="12.75" x14ac:dyDescent="0.2">
      <c r="C419" s="41"/>
    </row>
    <row r="420" spans="3:3" ht="12.75" x14ac:dyDescent="0.2">
      <c r="C420" s="41"/>
    </row>
    <row r="421" spans="3:3" ht="12.75" x14ac:dyDescent="0.2">
      <c r="C421" s="41"/>
    </row>
    <row r="422" spans="3:3" ht="12.75" x14ac:dyDescent="0.2">
      <c r="C422" s="41"/>
    </row>
    <row r="423" spans="3:3" ht="12.75" x14ac:dyDescent="0.2">
      <c r="C423" s="41"/>
    </row>
    <row r="424" spans="3:3" ht="12.75" x14ac:dyDescent="0.2">
      <c r="C424" s="41"/>
    </row>
    <row r="425" spans="3:3" ht="12.75" x14ac:dyDescent="0.2">
      <c r="C425" s="41"/>
    </row>
    <row r="426" spans="3:3" ht="12.75" x14ac:dyDescent="0.2">
      <c r="C426" s="41"/>
    </row>
    <row r="427" spans="3:3" ht="12.75" x14ac:dyDescent="0.2">
      <c r="C427" s="41"/>
    </row>
    <row r="428" spans="3:3" ht="12.75" x14ac:dyDescent="0.2">
      <c r="C428" s="41"/>
    </row>
    <row r="429" spans="3:3" ht="12.75" x14ac:dyDescent="0.2">
      <c r="C429" s="41"/>
    </row>
    <row r="430" spans="3:3" ht="12.75" x14ac:dyDescent="0.2">
      <c r="C430" s="41"/>
    </row>
    <row r="431" spans="3:3" ht="12.75" x14ac:dyDescent="0.2">
      <c r="C431" s="41"/>
    </row>
    <row r="432" spans="3:3" ht="12.75" x14ac:dyDescent="0.2">
      <c r="C432" s="41"/>
    </row>
    <row r="433" spans="3:3" ht="12.75" x14ac:dyDescent="0.2">
      <c r="C433" s="41"/>
    </row>
    <row r="434" spans="3:3" ht="12.75" x14ac:dyDescent="0.2">
      <c r="C434" s="41"/>
    </row>
    <row r="435" spans="3:3" ht="12.75" x14ac:dyDescent="0.2">
      <c r="C435" s="41"/>
    </row>
    <row r="436" spans="3:3" ht="12.75" x14ac:dyDescent="0.2">
      <c r="C436" s="41"/>
    </row>
    <row r="437" spans="3:3" ht="12.75" x14ac:dyDescent="0.2">
      <c r="C437" s="41"/>
    </row>
    <row r="438" spans="3:3" ht="12.75" x14ac:dyDescent="0.2">
      <c r="C438" s="41"/>
    </row>
    <row r="439" spans="3:3" ht="12.75" x14ac:dyDescent="0.2">
      <c r="C439" s="41"/>
    </row>
    <row r="440" spans="3:3" ht="12.75" x14ac:dyDescent="0.2">
      <c r="C440" s="41"/>
    </row>
    <row r="441" spans="3:3" ht="12.75" x14ac:dyDescent="0.2">
      <c r="C441" s="41"/>
    </row>
    <row r="442" spans="3:3" ht="12.75" x14ac:dyDescent="0.2">
      <c r="C442" s="41"/>
    </row>
    <row r="443" spans="3:3" ht="12.75" x14ac:dyDescent="0.2">
      <c r="C443" s="41"/>
    </row>
    <row r="444" spans="3:3" ht="12.75" x14ac:dyDescent="0.2">
      <c r="C444" s="41"/>
    </row>
    <row r="445" spans="3:3" ht="12.75" x14ac:dyDescent="0.2">
      <c r="C445" s="41"/>
    </row>
    <row r="446" spans="3:3" ht="12.75" x14ac:dyDescent="0.2">
      <c r="C446" s="41"/>
    </row>
    <row r="447" spans="3:3" ht="12.75" x14ac:dyDescent="0.2">
      <c r="C447" s="41"/>
    </row>
    <row r="448" spans="3:3" ht="12.75" x14ac:dyDescent="0.2">
      <c r="C448" s="41"/>
    </row>
    <row r="449" spans="3:3" ht="12.75" x14ac:dyDescent="0.2">
      <c r="C449" s="41"/>
    </row>
    <row r="450" spans="3:3" ht="12.75" x14ac:dyDescent="0.2">
      <c r="C450" s="41"/>
    </row>
    <row r="451" spans="3:3" ht="12.75" x14ac:dyDescent="0.2">
      <c r="C451" s="41"/>
    </row>
    <row r="452" spans="3:3" ht="12.75" x14ac:dyDescent="0.2">
      <c r="C452" s="41"/>
    </row>
    <row r="453" spans="3:3" ht="12.75" x14ac:dyDescent="0.2">
      <c r="C453" s="41"/>
    </row>
    <row r="454" spans="3:3" ht="12.75" x14ac:dyDescent="0.2">
      <c r="C454" s="41"/>
    </row>
    <row r="455" spans="3:3" ht="12.75" x14ac:dyDescent="0.2">
      <c r="C455" s="41"/>
    </row>
    <row r="456" spans="3:3" ht="12.75" x14ac:dyDescent="0.2">
      <c r="C456" s="41"/>
    </row>
    <row r="457" spans="3:3" ht="12.75" x14ac:dyDescent="0.2">
      <c r="C457" s="41"/>
    </row>
    <row r="458" spans="3:3" ht="12.75" x14ac:dyDescent="0.2">
      <c r="C458" s="41"/>
    </row>
    <row r="459" spans="3:3" ht="12.75" x14ac:dyDescent="0.2">
      <c r="C459" s="41"/>
    </row>
    <row r="460" spans="3:3" ht="12.75" x14ac:dyDescent="0.2">
      <c r="C460" s="41"/>
    </row>
    <row r="461" spans="3:3" ht="12.75" x14ac:dyDescent="0.2">
      <c r="C461" s="41"/>
    </row>
    <row r="462" spans="3:3" ht="12.75" x14ac:dyDescent="0.2">
      <c r="C462" s="41"/>
    </row>
    <row r="463" spans="3:3" ht="12.75" x14ac:dyDescent="0.2">
      <c r="C463" s="41"/>
    </row>
    <row r="464" spans="3:3" ht="12.75" x14ac:dyDescent="0.2">
      <c r="C464" s="41"/>
    </row>
    <row r="465" spans="3:3" ht="12.75" x14ac:dyDescent="0.2">
      <c r="C465" s="41"/>
    </row>
    <row r="466" spans="3:3" ht="12.75" x14ac:dyDescent="0.2">
      <c r="C466" s="41"/>
    </row>
    <row r="467" spans="3:3" ht="12.75" x14ac:dyDescent="0.2">
      <c r="C467" s="41"/>
    </row>
    <row r="468" spans="3:3" ht="12.75" x14ac:dyDescent="0.2">
      <c r="C468" s="41"/>
    </row>
    <row r="469" spans="3:3" ht="12.75" x14ac:dyDescent="0.2">
      <c r="C469" s="41"/>
    </row>
    <row r="470" spans="3:3" ht="12.75" x14ac:dyDescent="0.2">
      <c r="C470" s="41"/>
    </row>
    <row r="471" spans="3:3" ht="12.75" x14ac:dyDescent="0.2">
      <c r="C471" s="41"/>
    </row>
    <row r="472" spans="3:3" ht="12.75" x14ac:dyDescent="0.2">
      <c r="C472" s="41"/>
    </row>
    <row r="473" spans="3:3" ht="12.75" x14ac:dyDescent="0.2">
      <c r="C473" s="41"/>
    </row>
    <row r="474" spans="3:3" ht="12.75" x14ac:dyDescent="0.2">
      <c r="C474" s="41"/>
    </row>
    <row r="475" spans="3:3" ht="12.75" x14ac:dyDescent="0.2">
      <c r="C475" s="41"/>
    </row>
    <row r="476" spans="3:3" ht="12.75" x14ac:dyDescent="0.2">
      <c r="C476" s="41"/>
    </row>
    <row r="477" spans="3:3" ht="12.75" x14ac:dyDescent="0.2">
      <c r="C477" s="41"/>
    </row>
    <row r="478" spans="3:3" ht="12.75" x14ac:dyDescent="0.2">
      <c r="C478" s="41"/>
    </row>
    <row r="479" spans="3:3" ht="12.75" x14ac:dyDescent="0.2">
      <c r="C479" s="41"/>
    </row>
    <row r="480" spans="3:3" ht="12.75" x14ac:dyDescent="0.2">
      <c r="C480" s="41"/>
    </row>
    <row r="481" spans="3:3" ht="12.75" x14ac:dyDescent="0.2">
      <c r="C481" s="41"/>
    </row>
    <row r="482" spans="3:3" ht="12.75" x14ac:dyDescent="0.2">
      <c r="C482" s="41"/>
    </row>
    <row r="483" spans="3:3" ht="12.75" x14ac:dyDescent="0.2">
      <c r="C483" s="41"/>
    </row>
    <row r="484" spans="3:3" ht="12.75" x14ac:dyDescent="0.2">
      <c r="C484" s="41"/>
    </row>
    <row r="485" spans="3:3" ht="12.75" x14ac:dyDescent="0.2">
      <c r="C485" s="41"/>
    </row>
    <row r="486" spans="3:3" ht="12.75" x14ac:dyDescent="0.2">
      <c r="C486" s="41"/>
    </row>
    <row r="487" spans="3:3" ht="12.75" x14ac:dyDescent="0.2">
      <c r="C487" s="41"/>
    </row>
    <row r="488" spans="3:3" ht="12.75" x14ac:dyDescent="0.2">
      <c r="C488" s="41"/>
    </row>
    <row r="489" spans="3:3" ht="12.75" x14ac:dyDescent="0.2">
      <c r="C489" s="41"/>
    </row>
    <row r="490" spans="3:3" ht="12.75" x14ac:dyDescent="0.2">
      <c r="C490" s="41"/>
    </row>
    <row r="491" spans="3:3" ht="12.75" x14ac:dyDescent="0.2">
      <c r="C491" s="41"/>
    </row>
    <row r="492" spans="3:3" ht="12.75" x14ac:dyDescent="0.2">
      <c r="C492" s="41"/>
    </row>
    <row r="493" spans="3:3" ht="12.75" x14ac:dyDescent="0.2">
      <c r="C493" s="41"/>
    </row>
    <row r="494" spans="3:3" ht="12.75" x14ac:dyDescent="0.2">
      <c r="C494" s="41"/>
    </row>
    <row r="495" spans="3:3" ht="12.75" x14ac:dyDescent="0.2">
      <c r="C495" s="41"/>
    </row>
    <row r="496" spans="3:3" ht="12.75" x14ac:dyDescent="0.2">
      <c r="C496" s="41"/>
    </row>
    <row r="497" spans="3:3" ht="12.75" x14ac:dyDescent="0.2">
      <c r="C497" s="41"/>
    </row>
    <row r="498" spans="3:3" ht="12.75" x14ac:dyDescent="0.2">
      <c r="C498" s="41"/>
    </row>
    <row r="499" spans="3:3" ht="12.75" x14ac:dyDescent="0.2">
      <c r="C499" s="41"/>
    </row>
    <row r="500" spans="3:3" ht="12.75" x14ac:dyDescent="0.2">
      <c r="C500" s="41"/>
    </row>
    <row r="501" spans="3:3" ht="12.75" x14ac:dyDescent="0.2">
      <c r="C501" s="41"/>
    </row>
    <row r="502" spans="3:3" ht="12.75" x14ac:dyDescent="0.2">
      <c r="C502" s="41"/>
    </row>
    <row r="503" spans="3:3" ht="12.75" x14ac:dyDescent="0.2">
      <c r="C503" s="41"/>
    </row>
    <row r="504" spans="3:3" ht="12.75" x14ac:dyDescent="0.2">
      <c r="C504" s="41"/>
    </row>
    <row r="505" spans="3:3" ht="12.75" x14ac:dyDescent="0.2">
      <c r="C505" s="41"/>
    </row>
    <row r="506" spans="3:3" ht="12.75" x14ac:dyDescent="0.2">
      <c r="C506" s="41"/>
    </row>
    <row r="507" spans="3:3" ht="12.75" x14ac:dyDescent="0.2">
      <c r="C507" s="41"/>
    </row>
    <row r="508" spans="3:3" ht="12.75" x14ac:dyDescent="0.2">
      <c r="C508" s="41"/>
    </row>
    <row r="509" spans="3:3" ht="12.75" x14ac:dyDescent="0.2">
      <c r="C509" s="41"/>
    </row>
    <row r="510" spans="3:3" ht="12.75" x14ac:dyDescent="0.2">
      <c r="C510" s="41"/>
    </row>
    <row r="511" spans="3:3" ht="12.75" x14ac:dyDescent="0.2">
      <c r="C511" s="41"/>
    </row>
    <row r="512" spans="3:3" ht="12.75" x14ac:dyDescent="0.2">
      <c r="C512" s="41"/>
    </row>
    <row r="513" spans="3:3" ht="12.75" x14ac:dyDescent="0.2">
      <c r="C513" s="41"/>
    </row>
    <row r="514" spans="3:3" ht="12.75" x14ac:dyDescent="0.2">
      <c r="C514" s="41"/>
    </row>
    <row r="515" spans="3:3" ht="12.75" x14ac:dyDescent="0.2">
      <c r="C515" s="41"/>
    </row>
    <row r="516" spans="3:3" ht="12.75" x14ac:dyDescent="0.2">
      <c r="C516" s="41"/>
    </row>
    <row r="517" spans="3:3" ht="12.75" x14ac:dyDescent="0.2">
      <c r="C517" s="41"/>
    </row>
    <row r="518" spans="3:3" ht="12.75" x14ac:dyDescent="0.2">
      <c r="C518" s="41"/>
    </row>
    <row r="519" spans="3:3" ht="12.75" x14ac:dyDescent="0.2">
      <c r="C519" s="41"/>
    </row>
    <row r="520" spans="3:3" ht="12.75" x14ac:dyDescent="0.2">
      <c r="C520" s="41"/>
    </row>
    <row r="521" spans="3:3" ht="12.75" x14ac:dyDescent="0.2">
      <c r="C521" s="41"/>
    </row>
    <row r="522" spans="3:3" ht="12.75" x14ac:dyDescent="0.2">
      <c r="C522" s="41"/>
    </row>
    <row r="523" spans="3:3" ht="12.75" x14ac:dyDescent="0.2">
      <c r="C523" s="41"/>
    </row>
    <row r="524" spans="3:3" ht="12.75" x14ac:dyDescent="0.2">
      <c r="C524" s="41"/>
    </row>
    <row r="525" spans="3:3" ht="12.75" x14ac:dyDescent="0.2">
      <c r="C525" s="41"/>
    </row>
    <row r="526" spans="3:3" ht="12.75" x14ac:dyDescent="0.2">
      <c r="C526" s="41"/>
    </row>
    <row r="527" spans="3:3" ht="12.75" x14ac:dyDescent="0.2">
      <c r="C527" s="41"/>
    </row>
    <row r="528" spans="3:3" ht="12.75" x14ac:dyDescent="0.2">
      <c r="C528" s="41"/>
    </row>
    <row r="529" spans="3:3" ht="12.75" x14ac:dyDescent="0.2">
      <c r="C529" s="41"/>
    </row>
    <row r="530" spans="3:3" ht="12.75" x14ac:dyDescent="0.2">
      <c r="C530" s="41"/>
    </row>
    <row r="531" spans="3:3" ht="12.75" x14ac:dyDescent="0.2">
      <c r="C531" s="41"/>
    </row>
    <row r="532" spans="3:3" ht="12.75" x14ac:dyDescent="0.2">
      <c r="C532" s="41"/>
    </row>
    <row r="533" spans="3:3" ht="12.75" x14ac:dyDescent="0.2">
      <c r="C533" s="41"/>
    </row>
    <row r="534" spans="3:3" ht="12.75" x14ac:dyDescent="0.2">
      <c r="C534" s="41"/>
    </row>
    <row r="535" spans="3:3" ht="12.75" x14ac:dyDescent="0.2">
      <c r="C535" s="41"/>
    </row>
    <row r="536" spans="3:3" ht="12.75" x14ac:dyDescent="0.2">
      <c r="C536" s="41"/>
    </row>
    <row r="537" spans="3:3" ht="12.75" x14ac:dyDescent="0.2">
      <c r="C537" s="41"/>
    </row>
    <row r="538" spans="3:3" ht="12.75" x14ac:dyDescent="0.2">
      <c r="C538" s="41"/>
    </row>
    <row r="539" spans="3:3" ht="12.75" x14ac:dyDescent="0.2">
      <c r="C539" s="41"/>
    </row>
    <row r="540" spans="3:3" ht="12.75" x14ac:dyDescent="0.2">
      <c r="C540" s="41"/>
    </row>
    <row r="541" spans="3:3" ht="12.75" x14ac:dyDescent="0.2">
      <c r="C541" s="41"/>
    </row>
    <row r="542" spans="3:3" ht="12.75" x14ac:dyDescent="0.2">
      <c r="C542" s="41"/>
    </row>
    <row r="543" spans="3:3" ht="12.75" x14ac:dyDescent="0.2">
      <c r="C543" s="41"/>
    </row>
    <row r="544" spans="3:3" ht="12.75" x14ac:dyDescent="0.2">
      <c r="C544" s="41"/>
    </row>
    <row r="545" spans="3:3" ht="12.75" x14ac:dyDescent="0.2">
      <c r="C545" s="41"/>
    </row>
    <row r="546" spans="3:3" ht="12.75" x14ac:dyDescent="0.2">
      <c r="C546" s="41"/>
    </row>
    <row r="547" spans="3:3" ht="12.75" x14ac:dyDescent="0.2">
      <c r="C547" s="41"/>
    </row>
    <row r="548" spans="3:3" ht="12.75" x14ac:dyDescent="0.2">
      <c r="C548" s="41"/>
    </row>
    <row r="549" spans="3:3" ht="12.75" x14ac:dyDescent="0.2">
      <c r="C549" s="41"/>
    </row>
    <row r="550" spans="3:3" ht="12.75" x14ac:dyDescent="0.2">
      <c r="C550" s="41"/>
    </row>
    <row r="551" spans="3:3" ht="12.75" x14ac:dyDescent="0.2">
      <c r="C551" s="41"/>
    </row>
    <row r="552" spans="3:3" ht="12.75" x14ac:dyDescent="0.2">
      <c r="C552" s="41"/>
    </row>
    <row r="553" spans="3:3" ht="12.75" x14ac:dyDescent="0.2">
      <c r="C553" s="41"/>
    </row>
    <row r="554" spans="3:3" ht="12.75" x14ac:dyDescent="0.2">
      <c r="C554" s="41"/>
    </row>
    <row r="555" spans="3:3" ht="12.75" x14ac:dyDescent="0.2">
      <c r="C555" s="41"/>
    </row>
    <row r="556" spans="3:3" ht="12.75" x14ac:dyDescent="0.2">
      <c r="C556" s="41"/>
    </row>
    <row r="557" spans="3:3" ht="12.75" x14ac:dyDescent="0.2">
      <c r="C557" s="41"/>
    </row>
    <row r="558" spans="3:3" ht="12.75" x14ac:dyDescent="0.2">
      <c r="C558" s="41"/>
    </row>
    <row r="559" spans="3:3" ht="12.75" x14ac:dyDescent="0.2">
      <c r="C559" s="41"/>
    </row>
    <row r="560" spans="3:3" ht="12.75" x14ac:dyDescent="0.2">
      <c r="C560" s="41"/>
    </row>
    <row r="561" spans="3:3" ht="12.75" x14ac:dyDescent="0.2">
      <c r="C561" s="41"/>
    </row>
    <row r="562" spans="3:3" ht="12.75" x14ac:dyDescent="0.2">
      <c r="C562" s="41"/>
    </row>
    <row r="563" spans="3:3" ht="12.75" x14ac:dyDescent="0.2">
      <c r="C563" s="41"/>
    </row>
    <row r="564" spans="3:3" ht="12.75" x14ac:dyDescent="0.2">
      <c r="C564" s="41"/>
    </row>
    <row r="565" spans="3:3" ht="12.75" x14ac:dyDescent="0.2">
      <c r="C565" s="41"/>
    </row>
    <row r="566" spans="3:3" ht="12.75" x14ac:dyDescent="0.2">
      <c r="C566" s="41"/>
    </row>
    <row r="567" spans="3:3" ht="12.75" x14ac:dyDescent="0.2">
      <c r="C567" s="41"/>
    </row>
    <row r="568" spans="3:3" ht="12.75" x14ac:dyDescent="0.2">
      <c r="C568" s="41"/>
    </row>
    <row r="569" spans="3:3" ht="12.75" x14ac:dyDescent="0.2">
      <c r="C569" s="41"/>
    </row>
    <row r="570" spans="3:3" ht="12.75" x14ac:dyDescent="0.2">
      <c r="C570" s="41"/>
    </row>
    <row r="571" spans="3:3" ht="12.75" x14ac:dyDescent="0.2">
      <c r="C571" s="41"/>
    </row>
    <row r="572" spans="3:3" ht="12.75" x14ac:dyDescent="0.2">
      <c r="C572" s="41"/>
    </row>
    <row r="573" spans="3:3" ht="12.75" x14ac:dyDescent="0.2">
      <c r="C573" s="41"/>
    </row>
    <row r="574" spans="3:3" ht="12.75" x14ac:dyDescent="0.2">
      <c r="C574" s="41"/>
    </row>
    <row r="575" spans="3:3" ht="12.75" x14ac:dyDescent="0.2">
      <c r="C575" s="41"/>
    </row>
    <row r="576" spans="3:3" ht="12.75" x14ac:dyDescent="0.2">
      <c r="C576" s="41"/>
    </row>
    <row r="577" spans="3:3" ht="12.75" x14ac:dyDescent="0.2">
      <c r="C577" s="41"/>
    </row>
    <row r="578" spans="3:3" ht="12.75" x14ac:dyDescent="0.2">
      <c r="C578" s="41"/>
    </row>
    <row r="579" spans="3:3" ht="12.75" x14ac:dyDescent="0.2">
      <c r="C579" s="41"/>
    </row>
    <row r="580" spans="3:3" ht="12.75" x14ac:dyDescent="0.2">
      <c r="C580" s="41"/>
    </row>
    <row r="581" spans="3:3" ht="12.75" x14ac:dyDescent="0.2">
      <c r="C581" s="41"/>
    </row>
    <row r="582" spans="3:3" ht="12.75" x14ac:dyDescent="0.2">
      <c r="C582" s="41"/>
    </row>
    <row r="583" spans="3:3" ht="12.75" x14ac:dyDescent="0.2">
      <c r="C583" s="41"/>
    </row>
    <row r="584" spans="3:3" ht="12.75" x14ac:dyDescent="0.2">
      <c r="C584" s="41"/>
    </row>
    <row r="585" spans="3:3" ht="12.75" x14ac:dyDescent="0.2">
      <c r="C585" s="41"/>
    </row>
    <row r="586" spans="3:3" ht="12.75" x14ac:dyDescent="0.2">
      <c r="C586" s="41"/>
    </row>
    <row r="587" spans="3:3" ht="12.75" x14ac:dyDescent="0.2">
      <c r="C587" s="41"/>
    </row>
    <row r="588" spans="3:3" ht="12.75" x14ac:dyDescent="0.2">
      <c r="C588" s="41"/>
    </row>
    <row r="589" spans="3:3" ht="12.75" x14ac:dyDescent="0.2">
      <c r="C589" s="41"/>
    </row>
    <row r="590" spans="3:3" ht="12.75" x14ac:dyDescent="0.2">
      <c r="C590" s="41"/>
    </row>
    <row r="591" spans="3:3" ht="12.75" x14ac:dyDescent="0.2">
      <c r="C591" s="41"/>
    </row>
    <row r="592" spans="3:3" ht="12.75" x14ac:dyDescent="0.2">
      <c r="C592" s="41"/>
    </row>
    <row r="593" spans="3:3" ht="12.75" x14ac:dyDescent="0.2">
      <c r="C593" s="41"/>
    </row>
    <row r="594" spans="3:3" ht="12.75" x14ac:dyDescent="0.2">
      <c r="C594" s="41"/>
    </row>
    <row r="595" spans="3:3" ht="12.75" x14ac:dyDescent="0.2">
      <c r="C595" s="41"/>
    </row>
    <row r="596" spans="3:3" ht="12.75" x14ac:dyDescent="0.2">
      <c r="C596" s="41"/>
    </row>
    <row r="597" spans="3:3" ht="12.75" x14ac:dyDescent="0.2">
      <c r="C597" s="41"/>
    </row>
    <row r="598" spans="3:3" ht="12.75" x14ac:dyDescent="0.2">
      <c r="C598" s="41"/>
    </row>
    <row r="599" spans="3:3" ht="12.75" x14ac:dyDescent="0.2">
      <c r="C599" s="41"/>
    </row>
    <row r="600" spans="3:3" ht="12.75" x14ac:dyDescent="0.2">
      <c r="C600" s="41"/>
    </row>
    <row r="601" spans="3:3" ht="12.75" x14ac:dyDescent="0.2">
      <c r="C601" s="41"/>
    </row>
    <row r="602" spans="3:3" ht="12.75" x14ac:dyDescent="0.2">
      <c r="C602" s="41"/>
    </row>
    <row r="603" spans="3:3" ht="12.75" x14ac:dyDescent="0.2">
      <c r="C603" s="41"/>
    </row>
    <row r="604" spans="3:3" ht="12.75" x14ac:dyDescent="0.2">
      <c r="C604" s="41"/>
    </row>
    <row r="605" spans="3:3" ht="12.75" x14ac:dyDescent="0.2">
      <c r="C605" s="41"/>
    </row>
    <row r="606" spans="3:3" ht="12.75" x14ac:dyDescent="0.2">
      <c r="C606" s="41"/>
    </row>
    <row r="607" spans="3:3" ht="12.75" x14ac:dyDescent="0.2">
      <c r="C607" s="41"/>
    </row>
    <row r="608" spans="3:3" ht="12.75" x14ac:dyDescent="0.2">
      <c r="C608" s="41"/>
    </row>
    <row r="609" spans="3:3" ht="12.75" x14ac:dyDescent="0.2">
      <c r="C609" s="41"/>
    </row>
    <row r="610" spans="3:3" ht="12.75" x14ac:dyDescent="0.2">
      <c r="C610" s="41"/>
    </row>
    <row r="611" spans="3:3" ht="12.75" x14ac:dyDescent="0.2">
      <c r="C611" s="41"/>
    </row>
    <row r="612" spans="3:3" ht="12.75" x14ac:dyDescent="0.2">
      <c r="C612" s="41"/>
    </row>
    <row r="613" spans="3:3" ht="12.75" x14ac:dyDescent="0.2">
      <c r="C613" s="41"/>
    </row>
    <row r="614" spans="3:3" ht="12.75" x14ac:dyDescent="0.2">
      <c r="C614" s="41"/>
    </row>
    <row r="615" spans="3:3" ht="12.75" x14ac:dyDescent="0.2">
      <c r="C615" s="41"/>
    </row>
    <row r="616" spans="3:3" ht="12.75" x14ac:dyDescent="0.2">
      <c r="C616" s="41"/>
    </row>
    <row r="617" spans="3:3" ht="12.75" x14ac:dyDescent="0.2">
      <c r="C617" s="41"/>
    </row>
    <row r="618" spans="3:3" ht="12.75" x14ac:dyDescent="0.2">
      <c r="C618" s="41"/>
    </row>
    <row r="619" spans="3:3" ht="12.75" x14ac:dyDescent="0.2">
      <c r="C619" s="41"/>
    </row>
    <row r="620" spans="3:3" ht="12.75" x14ac:dyDescent="0.2">
      <c r="C620" s="41"/>
    </row>
    <row r="621" spans="3:3" ht="12.75" x14ac:dyDescent="0.2">
      <c r="C621" s="41"/>
    </row>
    <row r="622" spans="3:3" ht="12.75" x14ac:dyDescent="0.2">
      <c r="C622" s="41"/>
    </row>
    <row r="623" spans="3:3" ht="12.75" x14ac:dyDescent="0.2">
      <c r="C623" s="41"/>
    </row>
    <row r="624" spans="3:3" ht="12.75" x14ac:dyDescent="0.2">
      <c r="C624" s="41"/>
    </row>
    <row r="625" spans="3:3" ht="12.75" x14ac:dyDescent="0.2">
      <c r="C625" s="41"/>
    </row>
    <row r="626" spans="3:3" ht="12.75" x14ac:dyDescent="0.2">
      <c r="C626" s="41"/>
    </row>
    <row r="627" spans="3:3" ht="12.75" x14ac:dyDescent="0.2">
      <c r="C627" s="41"/>
    </row>
    <row r="628" spans="3:3" ht="12.75" x14ac:dyDescent="0.2">
      <c r="C628" s="41"/>
    </row>
    <row r="629" spans="3:3" ht="12.75" x14ac:dyDescent="0.2">
      <c r="C629" s="41"/>
    </row>
    <row r="630" spans="3:3" ht="12.75" x14ac:dyDescent="0.2">
      <c r="C630" s="41"/>
    </row>
    <row r="631" spans="3:3" ht="12.75" x14ac:dyDescent="0.2">
      <c r="C631" s="41"/>
    </row>
    <row r="632" spans="3:3" ht="12.75" x14ac:dyDescent="0.2">
      <c r="C632" s="41"/>
    </row>
    <row r="633" spans="3:3" ht="12.75" x14ac:dyDescent="0.2">
      <c r="C633" s="41"/>
    </row>
    <row r="634" spans="3:3" ht="12.75" x14ac:dyDescent="0.2">
      <c r="C634" s="41"/>
    </row>
    <row r="635" spans="3:3" ht="12.75" x14ac:dyDescent="0.2">
      <c r="C635" s="41"/>
    </row>
    <row r="636" spans="3:3" ht="12.75" x14ac:dyDescent="0.2">
      <c r="C636" s="41"/>
    </row>
    <row r="637" spans="3:3" ht="12.75" x14ac:dyDescent="0.2">
      <c r="C637" s="41"/>
    </row>
    <row r="638" spans="3:3" ht="12.75" x14ac:dyDescent="0.2">
      <c r="C638" s="41"/>
    </row>
    <row r="639" spans="3:3" ht="12.75" x14ac:dyDescent="0.2">
      <c r="C639" s="41"/>
    </row>
    <row r="640" spans="3:3" ht="12.75" x14ac:dyDescent="0.2">
      <c r="C640" s="41"/>
    </row>
    <row r="641" spans="3:3" ht="12.75" x14ac:dyDescent="0.2">
      <c r="C641" s="41"/>
    </row>
    <row r="642" spans="3:3" ht="12.75" x14ac:dyDescent="0.2">
      <c r="C642" s="41"/>
    </row>
    <row r="643" spans="3:3" ht="12.75" x14ac:dyDescent="0.2">
      <c r="C643" s="41"/>
    </row>
    <row r="644" spans="3:3" ht="12.75" x14ac:dyDescent="0.2">
      <c r="C644" s="41"/>
    </row>
    <row r="645" spans="3:3" ht="12.75" x14ac:dyDescent="0.2">
      <c r="C645" s="41"/>
    </row>
    <row r="646" spans="3:3" ht="12.75" x14ac:dyDescent="0.2">
      <c r="C646" s="41"/>
    </row>
    <row r="647" spans="3:3" ht="12.75" x14ac:dyDescent="0.2">
      <c r="C647" s="41"/>
    </row>
    <row r="648" spans="3:3" ht="12.75" x14ac:dyDescent="0.2">
      <c r="C648" s="41"/>
    </row>
    <row r="649" spans="3:3" ht="12.75" x14ac:dyDescent="0.2">
      <c r="C649" s="41"/>
    </row>
    <row r="650" spans="3:3" ht="12.75" x14ac:dyDescent="0.2">
      <c r="C650" s="41"/>
    </row>
    <row r="651" spans="3:3" ht="12.75" x14ac:dyDescent="0.2">
      <c r="C651" s="41"/>
    </row>
    <row r="652" spans="3:3" ht="12.75" x14ac:dyDescent="0.2">
      <c r="C652" s="41"/>
    </row>
    <row r="653" spans="3:3" ht="12.75" x14ac:dyDescent="0.2">
      <c r="C653" s="41"/>
    </row>
    <row r="654" spans="3:3" ht="12.75" x14ac:dyDescent="0.2">
      <c r="C654" s="41"/>
    </row>
    <row r="655" spans="3:3" ht="12.75" x14ac:dyDescent="0.2">
      <c r="C655" s="41"/>
    </row>
    <row r="656" spans="3:3" ht="12.75" x14ac:dyDescent="0.2">
      <c r="C656" s="41"/>
    </row>
    <row r="657" spans="3:3" ht="12.75" x14ac:dyDescent="0.2">
      <c r="C657" s="41"/>
    </row>
    <row r="658" spans="3:3" ht="12.75" x14ac:dyDescent="0.2">
      <c r="C658" s="41"/>
    </row>
    <row r="659" spans="3:3" ht="12.75" x14ac:dyDescent="0.2">
      <c r="C659" s="41"/>
    </row>
    <row r="660" spans="3:3" ht="12.75" x14ac:dyDescent="0.2">
      <c r="C660" s="41"/>
    </row>
    <row r="661" spans="3:3" ht="12.75" x14ac:dyDescent="0.2">
      <c r="C661" s="41"/>
    </row>
    <row r="662" spans="3:3" ht="12.75" x14ac:dyDescent="0.2">
      <c r="C662" s="41"/>
    </row>
    <row r="663" spans="3:3" ht="12.75" x14ac:dyDescent="0.2">
      <c r="C663" s="41"/>
    </row>
    <row r="664" spans="3:3" ht="12.75" x14ac:dyDescent="0.2">
      <c r="C664" s="41"/>
    </row>
    <row r="665" spans="3:3" ht="12.75" x14ac:dyDescent="0.2">
      <c r="C665" s="41"/>
    </row>
    <row r="666" spans="3:3" ht="12.75" x14ac:dyDescent="0.2">
      <c r="C666" s="41"/>
    </row>
    <row r="667" spans="3:3" ht="12.75" x14ac:dyDescent="0.2">
      <c r="C667" s="41"/>
    </row>
    <row r="668" spans="3:3" ht="12.75" x14ac:dyDescent="0.2">
      <c r="C668" s="41"/>
    </row>
    <row r="669" spans="3:3" ht="12.75" x14ac:dyDescent="0.2">
      <c r="C669" s="41"/>
    </row>
    <row r="670" spans="3:3" ht="12.75" x14ac:dyDescent="0.2">
      <c r="C670" s="41"/>
    </row>
    <row r="671" spans="3:3" ht="12.75" x14ac:dyDescent="0.2">
      <c r="C671" s="41"/>
    </row>
    <row r="672" spans="3:3" ht="12.75" x14ac:dyDescent="0.2">
      <c r="C672" s="41"/>
    </row>
    <row r="673" spans="3:3" ht="12.75" x14ac:dyDescent="0.2">
      <c r="C673" s="41"/>
    </row>
    <row r="674" spans="3:3" ht="12.75" x14ac:dyDescent="0.2">
      <c r="C674" s="41"/>
    </row>
    <row r="675" spans="3:3" ht="12.75" x14ac:dyDescent="0.2">
      <c r="C675" s="41"/>
    </row>
    <row r="676" spans="3:3" ht="12.75" x14ac:dyDescent="0.2">
      <c r="C676" s="41"/>
    </row>
    <row r="677" spans="3:3" ht="12.75" x14ac:dyDescent="0.2">
      <c r="C677" s="41"/>
    </row>
    <row r="678" spans="3:3" ht="12.75" x14ac:dyDescent="0.2">
      <c r="C678" s="41"/>
    </row>
    <row r="679" spans="3:3" ht="12.75" x14ac:dyDescent="0.2">
      <c r="C679" s="41"/>
    </row>
    <row r="680" spans="3:3" ht="12.75" x14ac:dyDescent="0.2">
      <c r="C680" s="41"/>
    </row>
    <row r="681" spans="3:3" ht="12.75" x14ac:dyDescent="0.2">
      <c r="C681" s="41"/>
    </row>
    <row r="682" spans="3:3" ht="12.75" x14ac:dyDescent="0.2">
      <c r="C682" s="41"/>
    </row>
    <row r="683" spans="3:3" ht="12.75" x14ac:dyDescent="0.2">
      <c r="C683" s="41"/>
    </row>
    <row r="684" spans="3:3" ht="12.75" x14ac:dyDescent="0.2">
      <c r="C684" s="41"/>
    </row>
    <row r="685" spans="3:3" ht="12.75" x14ac:dyDescent="0.2">
      <c r="C685" s="41"/>
    </row>
    <row r="686" spans="3:3" ht="12.75" x14ac:dyDescent="0.2">
      <c r="C686" s="41"/>
    </row>
    <row r="687" spans="3:3" ht="12.75" x14ac:dyDescent="0.2">
      <c r="C687" s="41"/>
    </row>
    <row r="688" spans="3:3" ht="12.75" x14ac:dyDescent="0.2">
      <c r="C688" s="41"/>
    </row>
    <row r="689" spans="3:3" ht="12.75" x14ac:dyDescent="0.2">
      <c r="C689" s="41"/>
    </row>
    <row r="690" spans="3:3" ht="12.75" x14ac:dyDescent="0.2">
      <c r="C690" s="41"/>
    </row>
    <row r="691" spans="3:3" ht="12.75" x14ac:dyDescent="0.2">
      <c r="C691" s="41"/>
    </row>
    <row r="692" spans="3:3" ht="12.75" x14ac:dyDescent="0.2">
      <c r="C692" s="41"/>
    </row>
    <row r="693" spans="3:3" ht="12.75" x14ac:dyDescent="0.2">
      <c r="C693" s="41"/>
    </row>
    <row r="694" spans="3:3" ht="12.75" x14ac:dyDescent="0.2">
      <c r="C694" s="41"/>
    </row>
    <row r="695" spans="3:3" ht="12.75" x14ac:dyDescent="0.2">
      <c r="C695" s="41"/>
    </row>
    <row r="696" spans="3:3" ht="12.75" x14ac:dyDescent="0.2">
      <c r="C696" s="41"/>
    </row>
    <row r="697" spans="3:3" ht="12.75" x14ac:dyDescent="0.2">
      <c r="C697" s="41"/>
    </row>
    <row r="698" spans="3:3" ht="12.75" x14ac:dyDescent="0.2">
      <c r="C698" s="41"/>
    </row>
    <row r="699" spans="3:3" ht="12.75" x14ac:dyDescent="0.2">
      <c r="C699" s="41"/>
    </row>
    <row r="700" spans="3:3" ht="12.75" x14ac:dyDescent="0.2">
      <c r="C700" s="41"/>
    </row>
    <row r="701" spans="3:3" ht="12.75" x14ac:dyDescent="0.2">
      <c r="C701" s="41"/>
    </row>
    <row r="702" spans="3:3" ht="12.75" x14ac:dyDescent="0.2">
      <c r="C702" s="41"/>
    </row>
    <row r="703" spans="3:3" ht="12.75" x14ac:dyDescent="0.2">
      <c r="C703" s="41"/>
    </row>
    <row r="704" spans="3:3" ht="12.75" x14ac:dyDescent="0.2">
      <c r="C704" s="41"/>
    </row>
    <row r="705" spans="3:3" ht="12.75" x14ac:dyDescent="0.2">
      <c r="C705" s="41"/>
    </row>
    <row r="706" spans="3:3" ht="12.75" x14ac:dyDescent="0.2">
      <c r="C706" s="41"/>
    </row>
    <row r="707" spans="3:3" ht="12.75" x14ac:dyDescent="0.2">
      <c r="C707" s="41"/>
    </row>
    <row r="708" spans="3:3" ht="12.75" x14ac:dyDescent="0.2">
      <c r="C708" s="41"/>
    </row>
    <row r="709" spans="3:3" ht="12.75" x14ac:dyDescent="0.2">
      <c r="C709" s="41"/>
    </row>
    <row r="710" spans="3:3" ht="12.75" x14ac:dyDescent="0.2">
      <c r="C710" s="41"/>
    </row>
    <row r="711" spans="3:3" ht="12.75" x14ac:dyDescent="0.2">
      <c r="C711" s="41"/>
    </row>
    <row r="712" spans="3:3" ht="12.75" x14ac:dyDescent="0.2">
      <c r="C712" s="41"/>
    </row>
    <row r="713" spans="3:3" ht="12.75" x14ac:dyDescent="0.2">
      <c r="C713" s="41"/>
    </row>
    <row r="714" spans="3:3" ht="12.75" x14ac:dyDescent="0.2">
      <c r="C714" s="41"/>
    </row>
    <row r="715" spans="3:3" ht="12.75" x14ac:dyDescent="0.2">
      <c r="C715" s="41"/>
    </row>
    <row r="716" spans="3:3" ht="12.75" x14ac:dyDescent="0.2">
      <c r="C716" s="41"/>
    </row>
    <row r="717" spans="3:3" ht="12.75" x14ac:dyDescent="0.2">
      <c r="C717" s="41"/>
    </row>
    <row r="718" spans="3:3" ht="12.75" x14ac:dyDescent="0.2">
      <c r="C718" s="41"/>
    </row>
    <row r="719" spans="3:3" ht="12.75" x14ac:dyDescent="0.2">
      <c r="C719" s="41"/>
    </row>
    <row r="720" spans="3:3" ht="12.75" x14ac:dyDescent="0.2">
      <c r="C720" s="41"/>
    </row>
    <row r="721" spans="3:3" ht="12.75" x14ac:dyDescent="0.2">
      <c r="C721" s="41"/>
    </row>
    <row r="722" spans="3:3" ht="12.75" x14ac:dyDescent="0.2">
      <c r="C722" s="41"/>
    </row>
    <row r="723" spans="3:3" ht="12.75" x14ac:dyDescent="0.2">
      <c r="C723" s="41"/>
    </row>
    <row r="724" spans="3:3" ht="12.75" x14ac:dyDescent="0.2">
      <c r="C724" s="41"/>
    </row>
    <row r="725" spans="3:3" ht="12.75" x14ac:dyDescent="0.2">
      <c r="C725" s="41"/>
    </row>
    <row r="726" spans="3:3" ht="12.75" x14ac:dyDescent="0.2">
      <c r="C726" s="41"/>
    </row>
    <row r="727" spans="3:3" ht="12.75" x14ac:dyDescent="0.2">
      <c r="C727" s="41"/>
    </row>
    <row r="728" spans="3:3" ht="12.75" x14ac:dyDescent="0.2">
      <c r="C728" s="41"/>
    </row>
    <row r="729" spans="3:3" ht="12.75" x14ac:dyDescent="0.2">
      <c r="C729" s="41"/>
    </row>
    <row r="730" spans="3:3" ht="12.75" x14ac:dyDescent="0.2">
      <c r="C730" s="41"/>
    </row>
    <row r="731" spans="3:3" ht="12.75" x14ac:dyDescent="0.2">
      <c r="C731" s="41"/>
    </row>
    <row r="732" spans="3:3" ht="12.75" x14ac:dyDescent="0.2">
      <c r="C732" s="41"/>
    </row>
    <row r="733" spans="3:3" ht="12.75" x14ac:dyDescent="0.2">
      <c r="C733" s="41"/>
    </row>
    <row r="734" spans="3:3" ht="12.75" x14ac:dyDescent="0.2">
      <c r="C734" s="41"/>
    </row>
    <row r="735" spans="3:3" ht="12.75" x14ac:dyDescent="0.2">
      <c r="C735" s="41"/>
    </row>
    <row r="736" spans="3:3" ht="12.75" x14ac:dyDescent="0.2">
      <c r="C736" s="41"/>
    </row>
    <row r="737" spans="3:3" ht="12.75" x14ac:dyDescent="0.2">
      <c r="C737" s="41"/>
    </row>
    <row r="738" spans="3:3" ht="12.75" x14ac:dyDescent="0.2">
      <c r="C738" s="41"/>
    </row>
    <row r="739" spans="3:3" ht="12.75" x14ac:dyDescent="0.2">
      <c r="C739" s="41"/>
    </row>
    <row r="740" spans="3:3" ht="12.75" x14ac:dyDescent="0.2">
      <c r="C740" s="41"/>
    </row>
    <row r="741" spans="3:3" ht="12.75" x14ac:dyDescent="0.2">
      <c r="C741" s="41"/>
    </row>
    <row r="742" spans="3:3" ht="12.75" x14ac:dyDescent="0.2">
      <c r="C742" s="41"/>
    </row>
    <row r="743" spans="3:3" ht="12.75" x14ac:dyDescent="0.2">
      <c r="C743" s="41"/>
    </row>
    <row r="744" spans="3:3" ht="12.75" x14ac:dyDescent="0.2">
      <c r="C744" s="41"/>
    </row>
    <row r="745" spans="3:3" ht="12.75" x14ac:dyDescent="0.2">
      <c r="C745" s="41"/>
    </row>
    <row r="746" spans="3:3" ht="12.75" x14ac:dyDescent="0.2">
      <c r="C746" s="41"/>
    </row>
    <row r="747" spans="3:3" ht="12.75" x14ac:dyDescent="0.2">
      <c r="C747" s="41"/>
    </row>
    <row r="748" spans="3:3" ht="12.75" x14ac:dyDescent="0.2">
      <c r="C748" s="41"/>
    </row>
    <row r="749" spans="3:3" ht="12.75" x14ac:dyDescent="0.2">
      <c r="C749" s="41"/>
    </row>
    <row r="750" spans="3:3" ht="12.75" x14ac:dyDescent="0.2">
      <c r="C750" s="41"/>
    </row>
    <row r="751" spans="3:3" ht="12.75" x14ac:dyDescent="0.2">
      <c r="C751" s="41"/>
    </row>
    <row r="752" spans="3:3" ht="12.75" x14ac:dyDescent="0.2">
      <c r="C752" s="41"/>
    </row>
    <row r="753" spans="3:3" ht="12.75" x14ac:dyDescent="0.2">
      <c r="C753" s="41"/>
    </row>
    <row r="754" spans="3:3" ht="12.75" x14ac:dyDescent="0.2">
      <c r="C754" s="41"/>
    </row>
    <row r="755" spans="3:3" ht="12.75" x14ac:dyDescent="0.2">
      <c r="C755" s="41"/>
    </row>
    <row r="756" spans="3:3" ht="12.75" x14ac:dyDescent="0.2">
      <c r="C756" s="41"/>
    </row>
    <row r="757" spans="3:3" ht="12.75" x14ac:dyDescent="0.2">
      <c r="C757" s="41"/>
    </row>
    <row r="758" spans="3:3" ht="12.75" x14ac:dyDescent="0.2">
      <c r="C758" s="41"/>
    </row>
    <row r="759" spans="3:3" ht="12.75" x14ac:dyDescent="0.2">
      <c r="C759" s="41"/>
    </row>
    <row r="760" spans="3:3" ht="12.75" x14ac:dyDescent="0.2">
      <c r="C760" s="41"/>
    </row>
    <row r="761" spans="3:3" ht="12.75" x14ac:dyDescent="0.2">
      <c r="C761" s="41"/>
    </row>
    <row r="762" spans="3:3" ht="12.75" x14ac:dyDescent="0.2">
      <c r="C762" s="41"/>
    </row>
    <row r="763" spans="3:3" ht="12.75" x14ac:dyDescent="0.2">
      <c r="C763" s="41"/>
    </row>
    <row r="764" spans="3:3" ht="12.75" x14ac:dyDescent="0.2">
      <c r="C764" s="41"/>
    </row>
    <row r="765" spans="3:3" ht="12.75" x14ac:dyDescent="0.2">
      <c r="C765" s="41"/>
    </row>
    <row r="766" spans="3:3" ht="12.75" x14ac:dyDescent="0.2">
      <c r="C766" s="41"/>
    </row>
    <row r="767" spans="3:3" ht="12.75" x14ac:dyDescent="0.2">
      <c r="C767" s="41"/>
    </row>
    <row r="768" spans="3:3" ht="12.75" x14ac:dyDescent="0.2">
      <c r="C768" s="41"/>
    </row>
    <row r="769" spans="3:3" ht="12.75" x14ac:dyDescent="0.2">
      <c r="C769" s="41"/>
    </row>
    <row r="770" spans="3:3" ht="12.75" x14ac:dyDescent="0.2">
      <c r="C770" s="41"/>
    </row>
    <row r="771" spans="3:3" ht="12.75" x14ac:dyDescent="0.2">
      <c r="C771" s="41"/>
    </row>
    <row r="772" spans="3:3" ht="12.75" x14ac:dyDescent="0.2">
      <c r="C772" s="41"/>
    </row>
    <row r="773" spans="3:3" ht="12.75" x14ac:dyDescent="0.2">
      <c r="C773" s="41"/>
    </row>
    <row r="774" spans="3:3" ht="12.75" x14ac:dyDescent="0.2">
      <c r="C774" s="41"/>
    </row>
    <row r="775" spans="3:3" ht="12.75" x14ac:dyDescent="0.2">
      <c r="C775" s="41"/>
    </row>
    <row r="776" spans="3:3" ht="12.75" x14ac:dyDescent="0.2">
      <c r="C776" s="41"/>
    </row>
    <row r="777" spans="3:3" ht="12.75" x14ac:dyDescent="0.2">
      <c r="C777" s="41"/>
    </row>
    <row r="778" spans="3:3" ht="12.75" x14ac:dyDescent="0.2">
      <c r="C778" s="41"/>
    </row>
    <row r="779" spans="3:3" ht="12.75" x14ac:dyDescent="0.2">
      <c r="C779" s="41"/>
    </row>
    <row r="780" spans="3:3" ht="12.75" x14ac:dyDescent="0.2">
      <c r="C780" s="41"/>
    </row>
    <row r="781" spans="3:3" ht="12.75" x14ac:dyDescent="0.2">
      <c r="C781" s="41"/>
    </row>
    <row r="782" spans="3:3" ht="12.75" x14ac:dyDescent="0.2">
      <c r="C782" s="41"/>
    </row>
    <row r="783" spans="3:3" ht="12.75" x14ac:dyDescent="0.2">
      <c r="C783" s="41"/>
    </row>
    <row r="784" spans="3:3" ht="12.75" x14ac:dyDescent="0.2">
      <c r="C784" s="41"/>
    </row>
    <row r="785" spans="3:3" ht="12.75" x14ac:dyDescent="0.2">
      <c r="C785" s="41"/>
    </row>
    <row r="786" spans="3:3" ht="12.75" x14ac:dyDescent="0.2">
      <c r="C786" s="41"/>
    </row>
    <row r="787" spans="3:3" ht="12.75" x14ac:dyDescent="0.2">
      <c r="C787" s="41"/>
    </row>
    <row r="788" spans="3:3" ht="12.75" x14ac:dyDescent="0.2">
      <c r="C788" s="41"/>
    </row>
    <row r="789" spans="3:3" ht="12.75" x14ac:dyDescent="0.2">
      <c r="C789" s="41"/>
    </row>
    <row r="790" spans="3:3" ht="12.75" x14ac:dyDescent="0.2">
      <c r="C790" s="41"/>
    </row>
    <row r="791" spans="3:3" ht="12.75" x14ac:dyDescent="0.2">
      <c r="C791" s="41"/>
    </row>
    <row r="792" spans="3:3" ht="12.75" x14ac:dyDescent="0.2">
      <c r="C792" s="41"/>
    </row>
    <row r="793" spans="3:3" ht="12.75" x14ac:dyDescent="0.2">
      <c r="C793" s="41"/>
    </row>
    <row r="794" spans="3:3" ht="12.75" x14ac:dyDescent="0.2">
      <c r="C794" s="41"/>
    </row>
    <row r="795" spans="3:3" ht="12.75" x14ac:dyDescent="0.2">
      <c r="C795" s="41"/>
    </row>
    <row r="796" spans="3:3" ht="12.75" x14ac:dyDescent="0.2">
      <c r="C796" s="41"/>
    </row>
    <row r="797" spans="3:3" ht="12.75" x14ac:dyDescent="0.2">
      <c r="C797" s="41"/>
    </row>
    <row r="798" spans="3:3" ht="12.75" x14ac:dyDescent="0.2">
      <c r="C798" s="41"/>
    </row>
    <row r="799" spans="3:3" ht="12.75" x14ac:dyDescent="0.2">
      <c r="C799" s="41"/>
    </row>
    <row r="800" spans="3:3" ht="12.75" x14ac:dyDescent="0.2">
      <c r="C800" s="41"/>
    </row>
    <row r="801" spans="3:3" ht="12.75" x14ac:dyDescent="0.2">
      <c r="C801" s="41"/>
    </row>
    <row r="802" spans="3:3" ht="12.75" x14ac:dyDescent="0.2">
      <c r="C802" s="41"/>
    </row>
    <row r="803" spans="3:3" ht="12.75" x14ac:dyDescent="0.2">
      <c r="C803" s="41"/>
    </row>
    <row r="804" spans="3:3" ht="12.75" x14ac:dyDescent="0.2">
      <c r="C804" s="41"/>
    </row>
    <row r="805" spans="3:3" ht="12.75" x14ac:dyDescent="0.2">
      <c r="C805" s="41"/>
    </row>
    <row r="806" spans="3:3" ht="12.75" x14ac:dyDescent="0.2">
      <c r="C806" s="41"/>
    </row>
    <row r="807" spans="3:3" ht="12.75" x14ac:dyDescent="0.2">
      <c r="C807" s="41"/>
    </row>
    <row r="808" spans="3:3" ht="12.75" x14ac:dyDescent="0.2">
      <c r="C808" s="41"/>
    </row>
    <row r="809" spans="3:3" ht="12.75" x14ac:dyDescent="0.2">
      <c r="C809" s="41"/>
    </row>
    <row r="810" spans="3:3" ht="12.75" x14ac:dyDescent="0.2">
      <c r="C810" s="41"/>
    </row>
    <row r="811" spans="3:3" ht="12.75" x14ac:dyDescent="0.2">
      <c r="C811" s="41"/>
    </row>
    <row r="812" spans="3:3" ht="12.75" x14ac:dyDescent="0.2">
      <c r="C812" s="41"/>
    </row>
    <row r="813" spans="3:3" ht="12.75" x14ac:dyDescent="0.2">
      <c r="C813" s="41"/>
    </row>
    <row r="814" spans="3:3" ht="12.75" x14ac:dyDescent="0.2">
      <c r="C814" s="41"/>
    </row>
    <row r="815" spans="3:3" ht="12.75" x14ac:dyDescent="0.2">
      <c r="C815" s="41"/>
    </row>
    <row r="816" spans="3:3" ht="12.75" x14ac:dyDescent="0.2">
      <c r="C816" s="41"/>
    </row>
    <row r="817" spans="3:3" ht="12.75" x14ac:dyDescent="0.2">
      <c r="C817" s="41"/>
    </row>
    <row r="818" spans="3:3" ht="12.75" x14ac:dyDescent="0.2">
      <c r="C818" s="41"/>
    </row>
    <row r="819" spans="3:3" ht="12.75" x14ac:dyDescent="0.2">
      <c r="C819" s="41"/>
    </row>
    <row r="820" spans="3:3" ht="12.75" x14ac:dyDescent="0.2">
      <c r="C820" s="41"/>
    </row>
    <row r="821" spans="3:3" ht="12.75" x14ac:dyDescent="0.2">
      <c r="C821" s="41"/>
    </row>
    <row r="822" spans="3:3" ht="12.75" x14ac:dyDescent="0.2">
      <c r="C822" s="41"/>
    </row>
    <row r="823" spans="3:3" ht="12.75" x14ac:dyDescent="0.2">
      <c r="C823" s="41"/>
    </row>
    <row r="824" spans="3:3" ht="12.75" x14ac:dyDescent="0.2">
      <c r="C824" s="41"/>
    </row>
    <row r="825" spans="3:3" ht="12.75" x14ac:dyDescent="0.2">
      <c r="C825" s="41"/>
    </row>
    <row r="826" spans="3:3" ht="12.75" x14ac:dyDescent="0.2">
      <c r="C826" s="41"/>
    </row>
    <row r="827" spans="3:3" ht="12.75" x14ac:dyDescent="0.2">
      <c r="C827" s="41"/>
    </row>
    <row r="828" spans="3:3" ht="12.75" x14ac:dyDescent="0.2">
      <c r="C828" s="41"/>
    </row>
    <row r="829" spans="3:3" ht="12.75" x14ac:dyDescent="0.2">
      <c r="C829" s="41"/>
    </row>
    <row r="830" spans="3:3" ht="12.75" x14ac:dyDescent="0.2">
      <c r="C830" s="41"/>
    </row>
    <row r="831" spans="3:3" ht="12.75" x14ac:dyDescent="0.2">
      <c r="C831" s="41"/>
    </row>
    <row r="832" spans="3:3" ht="12.75" x14ac:dyDescent="0.2">
      <c r="C832" s="41"/>
    </row>
    <row r="833" spans="3:3" ht="12.75" x14ac:dyDescent="0.2">
      <c r="C833" s="41"/>
    </row>
    <row r="834" spans="3:3" ht="12.75" x14ac:dyDescent="0.2">
      <c r="C834" s="41"/>
    </row>
    <row r="835" spans="3:3" ht="12.75" x14ac:dyDescent="0.2">
      <c r="C835" s="41"/>
    </row>
    <row r="836" spans="3:3" ht="12.75" x14ac:dyDescent="0.2">
      <c r="C836" s="41"/>
    </row>
    <row r="837" spans="3:3" ht="12.75" x14ac:dyDescent="0.2">
      <c r="C837" s="41"/>
    </row>
    <row r="838" spans="3:3" ht="12.75" x14ac:dyDescent="0.2">
      <c r="C838" s="41"/>
    </row>
    <row r="839" spans="3:3" ht="12.75" x14ac:dyDescent="0.2">
      <c r="C839" s="41"/>
    </row>
    <row r="840" spans="3:3" ht="12.75" x14ac:dyDescent="0.2">
      <c r="C840" s="41"/>
    </row>
    <row r="841" spans="3:3" ht="12.75" x14ac:dyDescent="0.2">
      <c r="C841" s="41"/>
    </row>
    <row r="842" spans="3:3" ht="12.75" x14ac:dyDescent="0.2">
      <c r="C842" s="41"/>
    </row>
    <row r="843" spans="3:3" ht="12.75" x14ac:dyDescent="0.2">
      <c r="C843" s="41"/>
    </row>
    <row r="844" spans="3:3" ht="12.75" x14ac:dyDescent="0.2">
      <c r="C844" s="41"/>
    </row>
    <row r="845" spans="3:3" ht="12.75" x14ac:dyDescent="0.2">
      <c r="C845" s="41"/>
    </row>
    <row r="846" spans="3:3" ht="12.75" x14ac:dyDescent="0.2">
      <c r="C846" s="41"/>
    </row>
    <row r="847" spans="3:3" ht="12.75" x14ac:dyDescent="0.2">
      <c r="C847" s="41"/>
    </row>
    <row r="848" spans="3:3" ht="12.75" x14ac:dyDescent="0.2">
      <c r="C848" s="41"/>
    </row>
    <row r="849" spans="3:3" ht="12.75" x14ac:dyDescent="0.2">
      <c r="C849" s="41"/>
    </row>
    <row r="850" spans="3:3" ht="12.75" x14ac:dyDescent="0.2">
      <c r="C850" s="41"/>
    </row>
    <row r="851" spans="3:3" ht="12.75" x14ac:dyDescent="0.2">
      <c r="C851" s="41"/>
    </row>
    <row r="852" spans="3:3" ht="12.75" x14ac:dyDescent="0.2">
      <c r="C852" s="41"/>
    </row>
    <row r="853" spans="3:3" ht="12.75" x14ac:dyDescent="0.2">
      <c r="C853" s="41"/>
    </row>
    <row r="854" spans="3:3" ht="12.75" x14ac:dyDescent="0.2">
      <c r="C854" s="41"/>
    </row>
    <row r="855" spans="3:3" ht="12.75" x14ac:dyDescent="0.2">
      <c r="C855" s="41"/>
    </row>
    <row r="856" spans="3:3" ht="12.75" x14ac:dyDescent="0.2">
      <c r="C856" s="41"/>
    </row>
    <row r="857" spans="3:3" ht="12.75" x14ac:dyDescent="0.2">
      <c r="C857" s="41"/>
    </row>
    <row r="858" spans="3:3" ht="12.75" x14ac:dyDescent="0.2">
      <c r="C858" s="41"/>
    </row>
    <row r="859" spans="3:3" ht="12.75" x14ac:dyDescent="0.2">
      <c r="C859" s="41"/>
    </row>
    <row r="860" spans="3:3" ht="12.75" x14ac:dyDescent="0.2">
      <c r="C860" s="41"/>
    </row>
    <row r="861" spans="3:3" ht="12.75" x14ac:dyDescent="0.2">
      <c r="C861" s="41"/>
    </row>
    <row r="862" spans="3:3" ht="12.75" x14ac:dyDescent="0.2">
      <c r="C862" s="41"/>
    </row>
    <row r="863" spans="3:3" ht="12.75" x14ac:dyDescent="0.2">
      <c r="C863" s="41"/>
    </row>
    <row r="864" spans="3:3" ht="12.75" x14ac:dyDescent="0.2">
      <c r="C864" s="41"/>
    </row>
    <row r="865" spans="3:3" ht="12.75" x14ac:dyDescent="0.2">
      <c r="C865" s="41"/>
    </row>
    <row r="866" spans="3:3" ht="12.75" x14ac:dyDescent="0.2">
      <c r="C866" s="41"/>
    </row>
    <row r="867" spans="3:3" ht="12.75" x14ac:dyDescent="0.2">
      <c r="C867" s="41"/>
    </row>
    <row r="868" spans="3:3" ht="12.75" x14ac:dyDescent="0.2">
      <c r="C868" s="41"/>
    </row>
    <row r="869" spans="3:3" ht="12.75" x14ac:dyDescent="0.2">
      <c r="C869" s="41"/>
    </row>
    <row r="870" spans="3:3" ht="12.75" x14ac:dyDescent="0.2">
      <c r="C870" s="41"/>
    </row>
    <row r="871" spans="3:3" ht="12.75" x14ac:dyDescent="0.2">
      <c r="C871" s="41"/>
    </row>
    <row r="872" spans="3:3" ht="12.75" x14ac:dyDescent="0.2">
      <c r="C872" s="41"/>
    </row>
    <row r="873" spans="3:3" ht="12.75" x14ac:dyDescent="0.2">
      <c r="C873" s="41"/>
    </row>
    <row r="874" spans="3:3" ht="12.75" x14ac:dyDescent="0.2">
      <c r="C874" s="41"/>
    </row>
    <row r="875" spans="3:3" ht="12.75" x14ac:dyDescent="0.2">
      <c r="C875" s="41"/>
    </row>
    <row r="876" spans="3:3" ht="12.75" x14ac:dyDescent="0.2">
      <c r="C876" s="41"/>
    </row>
    <row r="877" spans="3:3" ht="12.75" x14ac:dyDescent="0.2">
      <c r="C877" s="41"/>
    </row>
    <row r="878" spans="3:3" ht="12.75" x14ac:dyDescent="0.2">
      <c r="C878" s="41"/>
    </row>
    <row r="879" spans="3:3" ht="12.75" x14ac:dyDescent="0.2">
      <c r="C879" s="41"/>
    </row>
    <row r="880" spans="3:3" ht="12.75" x14ac:dyDescent="0.2">
      <c r="C880" s="41"/>
    </row>
    <row r="881" spans="3:3" ht="12.75" x14ac:dyDescent="0.2">
      <c r="C881" s="41"/>
    </row>
    <row r="882" spans="3:3" ht="12.75" x14ac:dyDescent="0.2">
      <c r="C882" s="41"/>
    </row>
    <row r="883" spans="3:3" ht="12.75" x14ac:dyDescent="0.2">
      <c r="C883" s="41"/>
    </row>
    <row r="884" spans="3:3" ht="12.75" x14ac:dyDescent="0.2">
      <c r="C884" s="41"/>
    </row>
    <row r="885" spans="3:3" ht="12.75" x14ac:dyDescent="0.2">
      <c r="C885" s="41"/>
    </row>
    <row r="886" spans="3:3" ht="12.75" x14ac:dyDescent="0.2">
      <c r="C886" s="41"/>
    </row>
    <row r="887" spans="3:3" ht="12.75" x14ac:dyDescent="0.2">
      <c r="C887" s="41"/>
    </row>
    <row r="888" spans="3:3" ht="12.75" x14ac:dyDescent="0.2">
      <c r="C888" s="41"/>
    </row>
    <row r="889" spans="3:3" ht="12.75" x14ac:dyDescent="0.2">
      <c r="C889" s="41"/>
    </row>
    <row r="890" spans="3:3" ht="12.75" x14ac:dyDescent="0.2">
      <c r="C890" s="41"/>
    </row>
    <row r="891" spans="3:3" ht="12.75" x14ac:dyDescent="0.2">
      <c r="C891" s="41"/>
    </row>
    <row r="892" spans="3:3" ht="12.75" x14ac:dyDescent="0.2">
      <c r="C892" s="41"/>
    </row>
    <row r="893" spans="3:3" ht="12.75" x14ac:dyDescent="0.2">
      <c r="C893" s="41"/>
    </row>
    <row r="894" spans="3:3" ht="12.75" x14ac:dyDescent="0.2">
      <c r="C894" s="41"/>
    </row>
    <row r="895" spans="3:3" ht="12.75" x14ac:dyDescent="0.2">
      <c r="C895" s="41"/>
    </row>
    <row r="896" spans="3:3" ht="12.75" x14ac:dyDescent="0.2">
      <c r="C896" s="41"/>
    </row>
    <row r="897" spans="3:3" ht="12.75" x14ac:dyDescent="0.2">
      <c r="C897" s="41"/>
    </row>
    <row r="898" spans="3:3" ht="12.75" x14ac:dyDescent="0.2">
      <c r="C898" s="41"/>
    </row>
    <row r="899" spans="3:3" ht="12.75" x14ac:dyDescent="0.2">
      <c r="C899" s="41"/>
    </row>
    <row r="900" spans="3:3" ht="12.75" x14ac:dyDescent="0.2">
      <c r="C900" s="41"/>
    </row>
    <row r="901" spans="3:3" ht="12.75" x14ac:dyDescent="0.2">
      <c r="C901" s="41"/>
    </row>
    <row r="902" spans="3:3" ht="12.75" x14ac:dyDescent="0.2">
      <c r="C902" s="41"/>
    </row>
    <row r="903" spans="3:3" ht="12.75" x14ac:dyDescent="0.2">
      <c r="C903" s="41"/>
    </row>
    <row r="904" spans="3:3" ht="12.75" x14ac:dyDescent="0.2">
      <c r="C904" s="41"/>
    </row>
    <row r="905" spans="3:3" ht="12.75" x14ac:dyDescent="0.2">
      <c r="C905" s="41"/>
    </row>
    <row r="906" spans="3:3" ht="12.75" x14ac:dyDescent="0.2">
      <c r="C906" s="41"/>
    </row>
    <row r="907" spans="3:3" ht="12.75" x14ac:dyDescent="0.2">
      <c r="C907" s="41"/>
    </row>
    <row r="908" spans="3:3" ht="12.75" x14ac:dyDescent="0.2">
      <c r="C908" s="41"/>
    </row>
    <row r="909" spans="3:3" ht="12.75" x14ac:dyDescent="0.2">
      <c r="C909" s="41"/>
    </row>
    <row r="910" spans="3:3" ht="12.75" x14ac:dyDescent="0.2">
      <c r="C910" s="41"/>
    </row>
    <row r="911" spans="3:3" ht="12.75" x14ac:dyDescent="0.2">
      <c r="C911" s="41"/>
    </row>
    <row r="912" spans="3:3" ht="12.75" x14ac:dyDescent="0.2">
      <c r="C912" s="41"/>
    </row>
    <row r="913" spans="3:3" ht="12.75" x14ac:dyDescent="0.2">
      <c r="C913" s="41"/>
    </row>
    <row r="914" spans="3:3" ht="12.75" x14ac:dyDescent="0.2">
      <c r="C914" s="41"/>
    </row>
    <row r="915" spans="3:3" ht="12.75" x14ac:dyDescent="0.2">
      <c r="C915" s="41"/>
    </row>
    <row r="916" spans="3:3" ht="12.75" x14ac:dyDescent="0.2">
      <c r="C916" s="41"/>
    </row>
    <row r="917" spans="3:3" ht="12.75" x14ac:dyDescent="0.2">
      <c r="C917" s="41"/>
    </row>
    <row r="918" spans="3:3" ht="12.75" x14ac:dyDescent="0.2">
      <c r="C918" s="41"/>
    </row>
    <row r="919" spans="3:3" ht="12.75" x14ac:dyDescent="0.2">
      <c r="C919" s="41"/>
    </row>
    <row r="920" spans="3:3" ht="12.75" x14ac:dyDescent="0.2">
      <c r="C920" s="41"/>
    </row>
    <row r="921" spans="3:3" ht="12.75" x14ac:dyDescent="0.2">
      <c r="C921" s="41"/>
    </row>
    <row r="922" spans="3:3" ht="12.75" x14ac:dyDescent="0.2">
      <c r="C922" s="41"/>
    </row>
    <row r="923" spans="3:3" ht="12.75" x14ac:dyDescent="0.2">
      <c r="C923" s="41"/>
    </row>
    <row r="924" spans="3:3" ht="12.75" x14ac:dyDescent="0.2">
      <c r="C924" s="41"/>
    </row>
    <row r="925" spans="3:3" ht="12.75" x14ac:dyDescent="0.2">
      <c r="C925" s="41"/>
    </row>
    <row r="926" spans="3:3" ht="12.75" x14ac:dyDescent="0.2">
      <c r="C926" s="41"/>
    </row>
    <row r="927" spans="3:3" ht="12.75" x14ac:dyDescent="0.2">
      <c r="C927" s="41"/>
    </row>
    <row r="928" spans="3:3" ht="12.75" x14ac:dyDescent="0.2">
      <c r="C928" s="41"/>
    </row>
    <row r="929" spans="3:3" ht="12.75" x14ac:dyDescent="0.2">
      <c r="C929" s="41"/>
    </row>
    <row r="930" spans="3:3" ht="12.75" x14ac:dyDescent="0.2">
      <c r="C930" s="41"/>
    </row>
    <row r="931" spans="3:3" ht="12.75" x14ac:dyDescent="0.2">
      <c r="C931" s="41"/>
    </row>
    <row r="932" spans="3:3" ht="12.75" x14ac:dyDescent="0.2">
      <c r="C932" s="41"/>
    </row>
    <row r="933" spans="3:3" ht="12.75" x14ac:dyDescent="0.2">
      <c r="C933" s="41"/>
    </row>
    <row r="934" spans="3:3" ht="12.75" x14ac:dyDescent="0.2">
      <c r="C934" s="41"/>
    </row>
    <row r="935" spans="3:3" ht="12.75" x14ac:dyDescent="0.2">
      <c r="C935" s="41"/>
    </row>
    <row r="936" spans="3:3" ht="12.75" x14ac:dyDescent="0.2">
      <c r="C936" s="41"/>
    </row>
    <row r="937" spans="3:3" ht="12.75" x14ac:dyDescent="0.2">
      <c r="C937" s="41"/>
    </row>
    <row r="938" spans="3:3" ht="12.75" x14ac:dyDescent="0.2">
      <c r="C938" s="41"/>
    </row>
    <row r="939" spans="3:3" ht="12.75" x14ac:dyDescent="0.2">
      <c r="C939" s="41"/>
    </row>
    <row r="940" spans="3:3" ht="12.75" x14ac:dyDescent="0.2">
      <c r="C940" s="41"/>
    </row>
    <row r="941" spans="3:3" ht="12.75" x14ac:dyDescent="0.2">
      <c r="C941" s="41"/>
    </row>
    <row r="942" spans="3:3" ht="12.75" x14ac:dyDescent="0.2">
      <c r="C942" s="41"/>
    </row>
    <row r="943" spans="3:3" ht="12.75" x14ac:dyDescent="0.2">
      <c r="C943" s="41"/>
    </row>
    <row r="944" spans="3:3" ht="12.75" x14ac:dyDescent="0.2">
      <c r="C944" s="41"/>
    </row>
    <row r="945" spans="3:3" ht="12.75" x14ac:dyDescent="0.2">
      <c r="C945" s="41"/>
    </row>
    <row r="946" spans="3:3" ht="12.75" x14ac:dyDescent="0.2">
      <c r="C946" s="41"/>
    </row>
    <row r="947" spans="3:3" ht="12.75" x14ac:dyDescent="0.2">
      <c r="C947" s="41"/>
    </row>
    <row r="948" spans="3:3" ht="12.75" x14ac:dyDescent="0.2">
      <c r="C948" s="41"/>
    </row>
    <row r="949" spans="3:3" ht="12.75" x14ac:dyDescent="0.2">
      <c r="C949" s="41"/>
    </row>
    <row r="950" spans="3:3" ht="12.75" x14ac:dyDescent="0.2">
      <c r="C950" s="41"/>
    </row>
    <row r="951" spans="3:3" ht="12.75" x14ac:dyDescent="0.2">
      <c r="C951" s="41"/>
    </row>
    <row r="952" spans="3:3" ht="12.75" x14ac:dyDescent="0.2">
      <c r="C952" s="41"/>
    </row>
    <row r="953" spans="3:3" ht="12.75" x14ac:dyDescent="0.2">
      <c r="C953" s="41"/>
    </row>
    <row r="954" spans="3:3" ht="12.75" x14ac:dyDescent="0.2">
      <c r="C954" s="41"/>
    </row>
    <row r="955" spans="3:3" ht="12.75" x14ac:dyDescent="0.2">
      <c r="C955" s="41"/>
    </row>
    <row r="956" spans="3:3" ht="12.75" x14ac:dyDescent="0.2">
      <c r="C956" s="41"/>
    </row>
    <row r="957" spans="3:3" ht="12.75" x14ac:dyDescent="0.2">
      <c r="C957" s="41"/>
    </row>
    <row r="958" spans="3:3" ht="12.75" x14ac:dyDescent="0.2">
      <c r="C958" s="41"/>
    </row>
    <row r="959" spans="3:3" ht="12.75" x14ac:dyDescent="0.2">
      <c r="C959" s="41"/>
    </row>
    <row r="960" spans="3:3" ht="12.75" x14ac:dyDescent="0.2">
      <c r="C960" s="41"/>
    </row>
    <row r="961" spans="3:3" ht="12.75" x14ac:dyDescent="0.2">
      <c r="C961" s="41"/>
    </row>
    <row r="962" spans="3:3" ht="12.75" x14ac:dyDescent="0.2">
      <c r="C962" s="41"/>
    </row>
    <row r="963" spans="3:3" ht="12.75" x14ac:dyDescent="0.2">
      <c r="C963" s="41"/>
    </row>
    <row r="964" spans="3:3" ht="12.75" x14ac:dyDescent="0.2">
      <c r="C964" s="41"/>
    </row>
    <row r="965" spans="3:3" ht="12.75" x14ac:dyDescent="0.2">
      <c r="C965" s="41"/>
    </row>
    <row r="966" spans="3:3" ht="12.75" x14ac:dyDescent="0.2">
      <c r="C966" s="41"/>
    </row>
    <row r="967" spans="3:3" ht="12.75" x14ac:dyDescent="0.2">
      <c r="C967" s="41"/>
    </row>
    <row r="968" spans="3:3" ht="12.75" x14ac:dyDescent="0.2">
      <c r="C968" s="41"/>
    </row>
    <row r="969" spans="3:3" ht="12.75" x14ac:dyDescent="0.2">
      <c r="C969" s="41"/>
    </row>
    <row r="970" spans="3:3" ht="12.75" x14ac:dyDescent="0.2">
      <c r="C970" s="41"/>
    </row>
    <row r="971" spans="3:3" ht="12.75" x14ac:dyDescent="0.2">
      <c r="C971" s="41"/>
    </row>
    <row r="972" spans="3:3" ht="12.75" x14ac:dyDescent="0.2">
      <c r="C972" s="41"/>
    </row>
    <row r="973" spans="3:3" ht="12.75" x14ac:dyDescent="0.2">
      <c r="C973" s="41"/>
    </row>
    <row r="974" spans="3:3" ht="12.75" x14ac:dyDescent="0.2">
      <c r="C974" s="41"/>
    </row>
    <row r="975" spans="3:3" ht="12.75" x14ac:dyDescent="0.2">
      <c r="C975" s="41"/>
    </row>
    <row r="976" spans="3:3" ht="12.75" x14ac:dyDescent="0.2">
      <c r="C976" s="41"/>
    </row>
    <row r="977" spans="3:3" ht="12.75" x14ac:dyDescent="0.2">
      <c r="C977" s="41"/>
    </row>
    <row r="978" spans="3:3" ht="12.75" x14ac:dyDescent="0.2">
      <c r="C978" s="41"/>
    </row>
    <row r="979" spans="3:3" ht="12.75" x14ac:dyDescent="0.2">
      <c r="C979" s="41"/>
    </row>
    <row r="980" spans="3:3" ht="12.75" x14ac:dyDescent="0.2">
      <c r="C980" s="41"/>
    </row>
    <row r="981" spans="3:3" ht="12.75" x14ac:dyDescent="0.2">
      <c r="C981" s="41"/>
    </row>
    <row r="982" spans="3:3" ht="12.75" x14ac:dyDescent="0.2">
      <c r="C982" s="41"/>
    </row>
    <row r="983" spans="3:3" ht="12.75" x14ac:dyDescent="0.2">
      <c r="C983" s="41"/>
    </row>
    <row r="984" spans="3:3" ht="12.75" x14ac:dyDescent="0.2">
      <c r="C984" s="41"/>
    </row>
    <row r="985" spans="3:3" ht="12.75" x14ac:dyDescent="0.2">
      <c r="C985" s="41"/>
    </row>
    <row r="986" spans="3:3" ht="12.75" x14ac:dyDescent="0.2">
      <c r="C986" s="41"/>
    </row>
    <row r="987" spans="3:3" ht="12.75" x14ac:dyDescent="0.2">
      <c r="C987" s="41"/>
    </row>
    <row r="988" spans="3:3" ht="12.75" x14ac:dyDescent="0.2">
      <c r="C988" s="41"/>
    </row>
    <row r="989" spans="3:3" ht="12.75" x14ac:dyDescent="0.2">
      <c r="C989" s="41"/>
    </row>
    <row r="990" spans="3:3" ht="12.75" x14ac:dyDescent="0.2">
      <c r="C990" s="41"/>
    </row>
    <row r="991" spans="3:3" ht="12.75" x14ac:dyDescent="0.2">
      <c r="C991" s="41"/>
    </row>
    <row r="992" spans="3:3" ht="12.75" x14ac:dyDescent="0.2">
      <c r="C992" s="41"/>
    </row>
    <row r="993" spans="3:3" ht="12.75" x14ac:dyDescent="0.2">
      <c r="C993" s="41"/>
    </row>
    <row r="994" spans="3:3" ht="12.75" x14ac:dyDescent="0.2">
      <c r="C994" s="41"/>
    </row>
    <row r="995" spans="3:3" ht="12.75" x14ac:dyDescent="0.2">
      <c r="C995" s="41"/>
    </row>
    <row r="996" spans="3:3" ht="12.75" x14ac:dyDescent="0.2">
      <c r="C996" s="41"/>
    </row>
  </sheetData>
  <conditionalFormatting sqref="E3:J30">
    <cfRule type="cellIs" dxfId="2" priority="1" operator="equal">
      <formula>0</formula>
    </cfRule>
    <cfRule type="cellIs" dxfId="1" priority="2" operator="equal">
      <formula>1</formula>
    </cfRule>
    <cfRule type="cellIs" dxfId="0" priority="3" operator="lessThan">
      <formula>0</formula>
    </cfRule>
  </conditionalFormatting>
  <pageMargins left="0.7" right="0.7" top="0.75" bottom="0.75" header="0.3" footer="0.3"/>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600-000000000000}">
  <sheetPr>
    <outlinePr summaryBelow="0" summaryRight="0"/>
  </sheetPr>
  <dimension ref="A3:I20"/>
  <sheetViews>
    <sheetView workbookViewId="0"/>
  </sheetViews>
  <sheetFormatPr baseColWidth="10" defaultColWidth="14.42578125" defaultRowHeight="15.75" customHeight="1" x14ac:dyDescent="0.2"/>
  <cols>
    <col min="1" max="1" width="19" customWidth="1"/>
    <col min="2" max="2" width="21" customWidth="1"/>
    <col min="5" max="5" width="21" customWidth="1"/>
    <col min="7" max="7" width="21.140625" customWidth="1"/>
  </cols>
  <sheetData>
    <row r="3" spans="1:9" x14ac:dyDescent="0.25">
      <c r="A3" s="55" t="s">
        <v>200</v>
      </c>
      <c r="B3" s="56" t="s">
        <v>201</v>
      </c>
      <c r="D3" s="57" t="s">
        <v>202</v>
      </c>
      <c r="E3" s="57" t="s">
        <v>203</v>
      </c>
      <c r="G3" s="58" t="s">
        <v>204</v>
      </c>
      <c r="H3" s="59" t="s">
        <v>205</v>
      </c>
      <c r="I3" s="59" t="s">
        <v>206</v>
      </c>
    </row>
    <row r="4" spans="1:9" x14ac:dyDescent="0.25">
      <c r="A4" s="60">
        <v>11</v>
      </c>
      <c r="B4" s="61">
        <v>11</v>
      </c>
      <c r="D4" s="62"/>
      <c r="E4" s="62"/>
      <c r="G4" s="63" t="s">
        <v>207</v>
      </c>
      <c r="H4" s="64" t="s">
        <v>208</v>
      </c>
      <c r="I4" s="65">
        <v>12</v>
      </c>
    </row>
    <row r="5" spans="1:9" x14ac:dyDescent="0.25">
      <c r="A5" s="60" t="s">
        <v>209</v>
      </c>
      <c r="B5" s="61">
        <v>12</v>
      </c>
      <c r="D5" s="62"/>
      <c r="E5" s="62"/>
      <c r="G5" s="63" t="s">
        <v>210</v>
      </c>
      <c r="H5" s="64" t="s">
        <v>211</v>
      </c>
      <c r="I5" s="65">
        <v>4</v>
      </c>
    </row>
    <row r="6" spans="1:9" x14ac:dyDescent="0.25">
      <c r="A6" s="60" t="s">
        <v>212</v>
      </c>
      <c r="B6" s="61">
        <v>14</v>
      </c>
      <c r="D6" s="62"/>
      <c r="E6" s="62"/>
      <c r="G6" s="63" t="s">
        <v>213</v>
      </c>
      <c r="H6" s="64"/>
      <c r="I6" s="65">
        <v>12</v>
      </c>
    </row>
    <row r="7" spans="1:9" x14ac:dyDescent="0.25">
      <c r="A7" s="60" t="s">
        <v>214</v>
      </c>
      <c r="B7" s="61">
        <v>15</v>
      </c>
      <c r="D7" s="62"/>
      <c r="E7" s="62"/>
      <c r="G7" s="63"/>
      <c r="H7" s="64" t="s">
        <v>208</v>
      </c>
      <c r="I7" s="65">
        <v>2</v>
      </c>
    </row>
    <row r="8" spans="1:9" x14ac:dyDescent="0.25">
      <c r="D8" s="62"/>
      <c r="E8" s="62"/>
      <c r="G8" s="63" t="s">
        <v>215</v>
      </c>
      <c r="H8" s="64" t="s">
        <v>216</v>
      </c>
      <c r="I8" s="65">
        <v>3</v>
      </c>
    </row>
    <row r="9" spans="1:9" x14ac:dyDescent="0.25">
      <c r="D9" s="62"/>
      <c r="E9" s="62"/>
      <c r="G9" s="63" t="s">
        <v>217</v>
      </c>
      <c r="H9" s="64" t="s">
        <v>218</v>
      </c>
      <c r="I9" s="65">
        <v>3</v>
      </c>
    </row>
    <row r="10" spans="1:9" x14ac:dyDescent="0.25">
      <c r="D10" s="62"/>
      <c r="E10" s="62"/>
      <c r="G10" s="63" t="s">
        <v>219</v>
      </c>
      <c r="H10" s="64" t="s">
        <v>220</v>
      </c>
      <c r="I10" s="65">
        <v>3</v>
      </c>
    </row>
    <row r="11" spans="1:9" x14ac:dyDescent="0.25">
      <c r="G11" s="63" t="s">
        <v>221</v>
      </c>
      <c r="H11" s="64" t="s">
        <v>222</v>
      </c>
      <c r="I11" s="65">
        <v>3</v>
      </c>
    </row>
    <row r="12" spans="1:9" x14ac:dyDescent="0.25">
      <c r="A12" s="66" t="s">
        <v>223</v>
      </c>
      <c r="D12" s="67" t="s">
        <v>224</v>
      </c>
      <c r="G12" s="63" t="s">
        <v>225</v>
      </c>
      <c r="H12" s="64" t="s">
        <v>226</v>
      </c>
      <c r="I12" s="65">
        <v>3</v>
      </c>
    </row>
    <row r="13" spans="1:9" x14ac:dyDescent="0.25">
      <c r="A13" s="63" t="s">
        <v>227</v>
      </c>
      <c r="D13" s="68" t="s">
        <v>228</v>
      </c>
      <c r="G13" s="63" t="s">
        <v>229</v>
      </c>
      <c r="H13" s="64" t="s">
        <v>230</v>
      </c>
      <c r="I13" s="65">
        <v>3</v>
      </c>
    </row>
    <row r="14" spans="1:9" x14ac:dyDescent="0.25">
      <c r="A14" s="63" t="s">
        <v>231</v>
      </c>
      <c r="D14" s="69" t="s">
        <v>232</v>
      </c>
      <c r="G14" s="63" t="s">
        <v>233</v>
      </c>
      <c r="H14" s="64" t="s">
        <v>234</v>
      </c>
      <c r="I14" s="65">
        <v>3</v>
      </c>
    </row>
    <row r="15" spans="1:9" x14ac:dyDescent="0.25">
      <c r="A15" s="63" t="s">
        <v>235</v>
      </c>
      <c r="D15" s="68" t="s">
        <v>236</v>
      </c>
      <c r="G15" s="63" t="s">
        <v>237</v>
      </c>
      <c r="H15" s="64" t="s">
        <v>238</v>
      </c>
      <c r="I15" s="65">
        <v>3</v>
      </c>
    </row>
    <row r="16" spans="1:9" x14ac:dyDescent="0.25">
      <c r="A16" s="63" t="s">
        <v>239</v>
      </c>
      <c r="D16" s="69" t="s">
        <v>240</v>
      </c>
      <c r="G16" s="63" t="s">
        <v>241</v>
      </c>
      <c r="H16" s="64" t="s">
        <v>242</v>
      </c>
      <c r="I16" s="65">
        <v>3</v>
      </c>
    </row>
    <row r="17" spans="1:9" x14ac:dyDescent="0.25">
      <c r="A17" s="63" t="s">
        <v>243</v>
      </c>
      <c r="G17" s="63" t="s">
        <v>244</v>
      </c>
      <c r="H17" s="64" t="s">
        <v>245</v>
      </c>
      <c r="I17" s="65">
        <v>3</v>
      </c>
    </row>
    <row r="18" spans="1:9" x14ac:dyDescent="0.25">
      <c r="A18" s="63" t="s">
        <v>246</v>
      </c>
    </row>
    <row r="19" spans="1:9" x14ac:dyDescent="0.25">
      <c r="A19" s="70">
        <v>6540</v>
      </c>
    </row>
    <row r="20" spans="1:9" x14ac:dyDescent="0.25">
      <c r="A20" s="63" t="s">
        <v>247</v>
      </c>
    </row>
  </sheetData>
  <pageMargins left="0.7" right="0.7" top="0.75" bottom="0.75" header="0.3" footer="0.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700-000000000000}">
  <sheetPr>
    <tabColor rgb="FFCC0000"/>
    <outlinePr summaryBelow="0" summaryRight="0"/>
  </sheetPr>
  <dimension ref="A1:G4500"/>
  <sheetViews>
    <sheetView workbookViewId="0">
      <pane ySplit="1" topLeftCell="A2" activePane="bottomLeft" state="frozen"/>
      <selection pane="bottomLeft" activeCell="B3" sqref="B3"/>
    </sheetView>
  </sheetViews>
  <sheetFormatPr baseColWidth="10" defaultColWidth="14.42578125" defaultRowHeight="15.75" customHeight="1" x14ac:dyDescent="0.2"/>
  <cols>
    <col min="2" max="2" width="72.42578125" customWidth="1"/>
    <col min="3" max="3" width="17.85546875" customWidth="1"/>
    <col min="4" max="4" width="16.42578125" customWidth="1"/>
    <col min="5" max="5" width="16.7109375" customWidth="1"/>
    <col min="6" max="7" width="32.42578125" customWidth="1"/>
  </cols>
  <sheetData>
    <row r="1" spans="1:7" ht="15.75" customHeight="1" x14ac:dyDescent="0.2">
      <c r="A1" s="71" t="str">
        <f ca="1">IFERROR(__xludf.DUMMYFUNCTION("IMPORTRANGE(""https://docs.google.com/spreadsheets/d/1A0CnpyGr8OFVIrVQpDOl87k8CW58idzvggycPxfU8h0/edit#gid=1703973988"",""Matriz Madre!B:D"")"),"Código")</f>
        <v>Código</v>
      </c>
      <c r="B1" s="72" t="str">
        <f ca="1">IFERROR(__xludf.DUMMYFUNCTION("""COMPUTED_VALUE"""),"Producto")</f>
        <v>Producto</v>
      </c>
      <c r="C1" s="71" t="str">
        <f ca="1">IFERROR(__xludf.DUMMYFUNCTION("""COMPUTED_VALUE"""),"Precio de Venta")</f>
        <v>Precio de Venta</v>
      </c>
      <c r="D1" s="71" t="str">
        <f ca="1">IFERROR(__xludf.DUMMYFUNCTION("IMPORTRANGE(""https://docs.google.com/spreadsheets/d/1A0CnpyGr8OFVIrVQpDOl87k8CW58idzvggycPxfU8h0/edit#gid=1703973988"",""Matriz Madre!I:j"")"),"Servicio")</f>
        <v>Servicio</v>
      </c>
      <c r="E1" s="71" t="str">
        <f ca="1">IFERROR(__xludf.DUMMYFUNCTION("""COMPUTED_VALUE"""),"Precio Final")</f>
        <v>Precio Final</v>
      </c>
      <c r="F1" s="73" t="str">
        <f ca="1">IFERROR(__xludf.DUMMYFUNCTION("IMPORTRANGE(""https://docs.google.com/spreadsheets/d/12EjU-qGJv_BSzbR7YG1sUyHmQTvI6Zwae_eJJDLFtps/edit#gid=1721141064"",""Stock!B:B"")"),"Código")</f>
        <v>Código</v>
      </c>
      <c r="G1" s="73"/>
    </row>
    <row r="2" spans="1:7" ht="15.75" customHeight="1" x14ac:dyDescent="0.4">
      <c r="A2" s="74">
        <f ca="1">IFERROR(__xludf.DUMMYFUNCTION("""COMPUTED_VALUE"""),10010080)</f>
        <v>10010080</v>
      </c>
      <c r="B2" s="62" t="str">
        <f ca="1">IFERROR(__xludf.DUMMYFUNCTION("""COMPUTED_VALUE"""),"Pantalla Iphone 5C AAA")</f>
        <v>Pantalla Iphone 5C AAA</v>
      </c>
      <c r="C2" s="75">
        <f ca="1">IFERROR(__xludf.DUMMYFUNCTION("""COMPUTED_VALUE"""),50)</f>
        <v>50</v>
      </c>
      <c r="D2" s="75">
        <f ca="1">IFERROR(__xludf.DUMMYFUNCTION("""COMPUTED_VALUE"""),40)</f>
        <v>40</v>
      </c>
      <c r="E2" s="76">
        <f ca="1">IFERROR(__xludf.DUMMYFUNCTION("""COMPUTED_VALUE"""),90)</f>
        <v>90</v>
      </c>
      <c r="F2" s="77">
        <f ca="1">IFERROR(__xludf.DUMMYFUNCTION("""COMPUTED_VALUE"""),10010080)</f>
        <v>10010080</v>
      </c>
      <c r="G2" s="77" t="str">
        <f t="shared" ref="G2:G256" ca="1" si="0">IF(F2=A2,"si","no")</f>
        <v>si</v>
      </c>
    </row>
    <row r="3" spans="1:7" ht="15.75" customHeight="1" x14ac:dyDescent="0.2">
      <c r="A3" s="62">
        <f ca="1">IFERROR(__xludf.DUMMYFUNCTION("""COMPUTED_VALUE"""),10010081)</f>
        <v>10010081</v>
      </c>
      <c r="B3" s="62" t="str">
        <f ca="1">IFERROR(__xludf.DUMMYFUNCTION("""COMPUTED_VALUE"""),"Pantalla Iphone 5G AAA")</f>
        <v>Pantalla Iphone 5G AAA</v>
      </c>
      <c r="C3" s="75">
        <f ca="1">IFERROR(__xludf.DUMMYFUNCTION("""COMPUTED_VALUE"""),50)</f>
        <v>50</v>
      </c>
      <c r="D3" s="75">
        <f ca="1">IFERROR(__xludf.DUMMYFUNCTION("""COMPUTED_VALUE"""),40)</f>
        <v>40</v>
      </c>
      <c r="E3" s="76">
        <f ca="1">IFERROR(__xludf.DUMMYFUNCTION("""COMPUTED_VALUE"""),90)</f>
        <v>90</v>
      </c>
      <c r="F3" s="77">
        <f ca="1">IFERROR(__xludf.DUMMYFUNCTION("""COMPUTED_VALUE"""),10010081)</f>
        <v>10010081</v>
      </c>
      <c r="G3" s="77" t="str">
        <f t="shared" ca="1" si="0"/>
        <v>si</v>
      </c>
    </row>
    <row r="4" spans="1:7" ht="15.75" customHeight="1" x14ac:dyDescent="0.2">
      <c r="A4" s="62">
        <f ca="1">IFERROR(__xludf.DUMMYFUNCTION("""COMPUTED_VALUE"""),10010082)</f>
        <v>10010082</v>
      </c>
      <c r="B4" s="62" t="str">
        <f ca="1">IFERROR(__xludf.DUMMYFUNCTION("""COMPUTED_VALUE"""),"Pantalla Iphone 5S AAA")</f>
        <v>Pantalla Iphone 5S AAA</v>
      </c>
      <c r="C4" s="75">
        <f ca="1">IFERROR(__xludf.DUMMYFUNCTION("""COMPUTED_VALUE"""),50)</f>
        <v>50</v>
      </c>
      <c r="D4" s="75">
        <f ca="1">IFERROR(__xludf.DUMMYFUNCTION("""COMPUTED_VALUE"""),40)</f>
        <v>40</v>
      </c>
      <c r="E4" s="76">
        <f ca="1">IFERROR(__xludf.DUMMYFUNCTION("""COMPUTED_VALUE"""),90)</f>
        <v>90</v>
      </c>
      <c r="F4" s="77">
        <f ca="1">IFERROR(__xludf.DUMMYFUNCTION("""COMPUTED_VALUE"""),10010082)</f>
        <v>10010082</v>
      </c>
      <c r="G4" s="77" t="str">
        <f t="shared" ca="1" si="0"/>
        <v>si</v>
      </c>
    </row>
    <row r="5" spans="1:7" ht="15.75" customHeight="1" x14ac:dyDescent="0.2">
      <c r="A5" s="62">
        <f ca="1">IFERROR(__xludf.DUMMYFUNCTION("""COMPUTED_VALUE"""),10010100)</f>
        <v>10010100</v>
      </c>
      <c r="B5" s="62" t="str">
        <f ca="1">IFERROR(__xludf.DUMMYFUNCTION("""COMPUTED_VALUE"""),"Pantalla Iphone X AAA")</f>
        <v>Pantalla Iphone X AAA</v>
      </c>
      <c r="C5" s="75">
        <f ca="1">IFERROR(__xludf.DUMMYFUNCTION("""COMPUTED_VALUE"""),50)</f>
        <v>50</v>
      </c>
      <c r="D5" s="75">
        <f ca="1">IFERROR(__xludf.DUMMYFUNCTION("""COMPUTED_VALUE"""),50)</f>
        <v>50</v>
      </c>
      <c r="E5" s="76">
        <f ca="1">IFERROR(__xludf.DUMMYFUNCTION("""COMPUTED_VALUE"""),100)</f>
        <v>100</v>
      </c>
      <c r="F5" s="77">
        <f ca="1">IFERROR(__xludf.DUMMYFUNCTION("""COMPUTED_VALUE"""),10010100)</f>
        <v>10010100</v>
      </c>
      <c r="G5" s="77" t="str">
        <f t="shared" ca="1" si="0"/>
        <v>si</v>
      </c>
    </row>
    <row r="6" spans="1:7" ht="15.75" customHeight="1" x14ac:dyDescent="0.2">
      <c r="A6" s="62">
        <f ca="1">IFERROR(__xludf.DUMMYFUNCTION("""COMPUTED_VALUE"""),10010103)</f>
        <v>10010103</v>
      </c>
      <c r="B6" s="62" t="str">
        <f ca="1">IFERROR(__xludf.DUMMYFUNCTION("""COMPUTED_VALUE"""),"Pantalla Iphone Xs AAA")</f>
        <v>Pantalla Iphone Xs AAA</v>
      </c>
      <c r="C6" s="75">
        <f ca="1">IFERROR(__xludf.DUMMYFUNCTION("""COMPUTED_VALUE"""),50)</f>
        <v>50</v>
      </c>
      <c r="D6" s="75">
        <f ca="1">IFERROR(__xludf.DUMMYFUNCTION("""COMPUTED_VALUE"""),50)</f>
        <v>50</v>
      </c>
      <c r="E6" s="76">
        <f ca="1">IFERROR(__xludf.DUMMYFUNCTION("""COMPUTED_VALUE"""),100)</f>
        <v>100</v>
      </c>
      <c r="F6" s="77">
        <f ca="1">IFERROR(__xludf.DUMMYFUNCTION("""COMPUTED_VALUE"""),10010103)</f>
        <v>10010103</v>
      </c>
      <c r="G6" s="77" t="str">
        <f t="shared" ca="1" si="0"/>
        <v>si</v>
      </c>
    </row>
    <row r="7" spans="1:7" ht="15.75" customHeight="1" x14ac:dyDescent="0.2">
      <c r="A7" s="62">
        <f ca="1">IFERROR(__xludf.DUMMYFUNCTION("""COMPUTED_VALUE"""),10010104)</f>
        <v>10010104</v>
      </c>
      <c r="B7" s="62" t="str">
        <f ca="1">IFERROR(__xludf.DUMMYFUNCTION("""COMPUTED_VALUE"""),"Pantalla Iphone Xs Max AAA")</f>
        <v>Pantalla Iphone Xs Max AAA</v>
      </c>
      <c r="C7" s="75">
        <f ca="1">IFERROR(__xludf.DUMMYFUNCTION("""COMPUTED_VALUE"""),50)</f>
        <v>50</v>
      </c>
      <c r="D7" s="75">
        <f ca="1">IFERROR(__xludf.DUMMYFUNCTION("""COMPUTED_VALUE"""),50)</f>
        <v>50</v>
      </c>
      <c r="E7" s="76">
        <f ca="1">IFERROR(__xludf.DUMMYFUNCTION("""COMPUTED_VALUE"""),100)</f>
        <v>100</v>
      </c>
      <c r="F7" s="77">
        <f ca="1">IFERROR(__xludf.DUMMYFUNCTION("""COMPUTED_VALUE"""),10010104)</f>
        <v>10010104</v>
      </c>
      <c r="G7" s="77" t="str">
        <f t="shared" ca="1" si="0"/>
        <v>si</v>
      </c>
    </row>
    <row r="8" spans="1:7" ht="15.75" customHeight="1" x14ac:dyDescent="0.2">
      <c r="A8" s="62">
        <f ca="1">IFERROR(__xludf.DUMMYFUNCTION("""COMPUTED_VALUE"""),10010359)</f>
        <v>10010359</v>
      </c>
      <c r="B8" s="62" t="str">
        <f ca="1">IFERROR(__xludf.DUMMYFUNCTION("""COMPUTED_VALUE"""),"Pantalla Iphone 11 PRO TFT")</f>
        <v>Pantalla Iphone 11 PRO TFT</v>
      </c>
      <c r="C8" s="75">
        <f ca="1">IFERROR(__xludf.DUMMYFUNCTION("""COMPUTED_VALUE"""),100)</f>
        <v>100</v>
      </c>
      <c r="D8" s="75">
        <f ca="1">IFERROR(__xludf.DUMMYFUNCTION("""COMPUTED_VALUE"""),50)</f>
        <v>50</v>
      </c>
      <c r="E8" s="76">
        <f ca="1">IFERROR(__xludf.DUMMYFUNCTION("""COMPUTED_VALUE"""),150)</f>
        <v>150</v>
      </c>
      <c r="F8" s="77">
        <f ca="1">IFERROR(__xludf.DUMMYFUNCTION("""COMPUTED_VALUE"""),10010359)</f>
        <v>10010359</v>
      </c>
      <c r="G8" s="77" t="str">
        <f t="shared" ca="1" si="0"/>
        <v>si</v>
      </c>
    </row>
    <row r="9" spans="1:7" ht="15.75" customHeight="1" x14ac:dyDescent="0.2">
      <c r="A9" s="62">
        <f ca="1">IFERROR(__xludf.DUMMYFUNCTION("""COMPUTED_VALUE"""),10010360)</f>
        <v>10010360</v>
      </c>
      <c r="B9" s="62" t="str">
        <f ca="1">IFERROR(__xludf.DUMMYFUNCTION("""COMPUTED_VALUE"""),"Pantalla Iphone 11 PRO Max  TFT")</f>
        <v>Pantalla Iphone 11 PRO Max  TFT</v>
      </c>
      <c r="C9" s="75">
        <f ca="1">IFERROR(__xludf.DUMMYFUNCTION("""COMPUTED_VALUE"""),150)</f>
        <v>150</v>
      </c>
      <c r="D9" s="75">
        <f ca="1">IFERROR(__xludf.DUMMYFUNCTION("""COMPUTED_VALUE"""),50)</f>
        <v>50</v>
      </c>
      <c r="E9" s="76">
        <f ca="1">IFERROR(__xludf.DUMMYFUNCTION("""COMPUTED_VALUE"""),200)</f>
        <v>200</v>
      </c>
      <c r="F9" s="77">
        <f ca="1">IFERROR(__xludf.DUMMYFUNCTION("""COMPUTED_VALUE"""),10010360)</f>
        <v>10010360</v>
      </c>
      <c r="G9" s="77" t="str">
        <f t="shared" ca="1" si="0"/>
        <v>si</v>
      </c>
    </row>
    <row r="10" spans="1:7" ht="15.75" customHeight="1" x14ac:dyDescent="0.2">
      <c r="A10" s="62">
        <f ca="1">IFERROR(__xludf.DUMMYFUNCTION("""COMPUTED_VALUE"""),10010084)</f>
        <v>10010084</v>
      </c>
      <c r="B10" s="62" t="str">
        <f ca="1">IFERROR(__xludf.DUMMYFUNCTION("""COMPUTED_VALUE"""),"Pantalla Iphone 6G Original")</f>
        <v>Pantalla Iphone 6G Original</v>
      </c>
      <c r="C10" s="75">
        <f ca="1">IFERROR(__xludf.DUMMYFUNCTION("""COMPUTED_VALUE"""),100)</f>
        <v>100</v>
      </c>
      <c r="D10" s="75">
        <f ca="1">IFERROR(__xludf.DUMMYFUNCTION("""COMPUTED_VALUE"""),50)</f>
        <v>50</v>
      </c>
      <c r="E10" s="76">
        <f ca="1">IFERROR(__xludf.DUMMYFUNCTION("""COMPUTED_VALUE"""),150)</f>
        <v>150</v>
      </c>
      <c r="F10" s="77">
        <f ca="1">IFERROR(__xludf.DUMMYFUNCTION("""COMPUTED_VALUE"""),10010084)</f>
        <v>10010084</v>
      </c>
      <c r="G10" s="77" t="str">
        <f t="shared" ca="1" si="0"/>
        <v>si</v>
      </c>
    </row>
    <row r="11" spans="1:7" ht="15.75" customHeight="1" x14ac:dyDescent="0.2">
      <c r="A11" s="62">
        <f ca="1">IFERROR(__xludf.DUMMYFUNCTION("""COMPUTED_VALUE"""),10010088)</f>
        <v>10010088</v>
      </c>
      <c r="B11" s="62" t="str">
        <f ca="1">IFERROR(__xludf.DUMMYFUNCTION("""COMPUTED_VALUE"""),"Pantalla Iphone 6S Original")</f>
        <v>Pantalla Iphone 6S Original</v>
      </c>
      <c r="C11" s="75">
        <f ca="1">IFERROR(__xludf.DUMMYFUNCTION("""COMPUTED_VALUE"""),100)</f>
        <v>100</v>
      </c>
      <c r="D11" s="75">
        <f ca="1">IFERROR(__xludf.DUMMYFUNCTION("""COMPUTED_VALUE"""),50)</f>
        <v>50</v>
      </c>
      <c r="E11" s="76">
        <f ca="1">IFERROR(__xludf.DUMMYFUNCTION("""COMPUTED_VALUE"""),150)</f>
        <v>150</v>
      </c>
      <c r="F11" s="77">
        <f ca="1">IFERROR(__xludf.DUMMYFUNCTION("""COMPUTED_VALUE"""),10010088)</f>
        <v>10010088</v>
      </c>
      <c r="G11" s="77" t="str">
        <f t="shared" ca="1" si="0"/>
        <v>si</v>
      </c>
    </row>
    <row r="12" spans="1:7" ht="15.75" customHeight="1" x14ac:dyDescent="0.2">
      <c r="A12" s="62">
        <f ca="1">IFERROR(__xludf.DUMMYFUNCTION("""COMPUTED_VALUE"""),10010086)</f>
        <v>10010086</v>
      </c>
      <c r="B12" s="62" t="str">
        <f ca="1">IFERROR(__xludf.DUMMYFUNCTION("""COMPUTED_VALUE"""),"Pantalla Iphone 6P / 6Splus Original")</f>
        <v>Pantalla Iphone 6P / 6Splus Original</v>
      </c>
      <c r="C12" s="75">
        <f ca="1">IFERROR(__xludf.DUMMYFUNCTION("""COMPUTED_VALUE"""),110)</f>
        <v>110</v>
      </c>
      <c r="D12" s="75">
        <f ca="1">IFERROR(__xludf.DUMMYFUNCTION("""COMPUTED_VALUE"""),50)</f>
        <v>50</v>
      </c>
      <c r="E12" s="76">
        <f ca="1">IFERROR(__xludf.DUMMYFUNCTION("""COMPUTED_VALUE"""),160)</f>
        <v>160</v>
      </c>
      <c r="F12" s="77">
        <f ca="1">IFERROR(__xludf.DUMMYFUNCTION("""COMPUTED_VALUE"""),10010086)</f>
        <v>10010086</v>
      </c>
      <c r="G12" s="77" t="str">
        <f t="shared" ca="1" si="0"/>
        <v>si</v>
      </c>
    </row>
    <row r="13" spans="1:7" ht="15.75" customHeight="1" x14ac:dyDescent="0.2">
      <c r="A13" s="62">
        <f ca="1">IFERROR(__xludf.DUMMYFUNCTION("""COMPUTED_VALUE"""),10010092)</f>
        <v>10010092</v>
      </c>
      <c r="B13" s="62" t="str">
        <f ca="1">IFERROR(__xludf.DUMMYFUNCTION("""COMPUTED_VALUE"""),"Pantalla Iphone 7G Original")</f>
        <v>Pantalla Iphone 7G Original</v>
      </c>
      <c r="C13" s="75">
        <f ca="1">IFERROR(__xludf.DUMMYFUNCTION("""COMPUTED_VALUE"""),110)</f>
        <v>110</v>
      </c>
      <c r="D13" s="75">
        <f ca="1">IFERROR(__xludf.DUMMYFUNCTION("""COMPUTED_VALUE"""),50)</f>
        <v>50</v>
      </c>
      <c r="E13" s="76">
        <f ca="1">IFERROR(__xludf.DUMMYFUNCTION("""COMPUTED_VALUE"""),160)</f>
        <v>160</v>
      </c>
      <c r="F13" s="77">
        <f ca="1">IFERROR(__xludf.DUMMYFUNCTION("""COMPUTED_VALUE"""),10010092)</f>
        <v>10010092</v>
      </c>
      <c r="G13" s="77" t="str">
        <f t="shared" ca="1" si="0"/>
        <v>si</v>
      </c>
    </row>
    <row r="14" spans="1:7" ht="15.75" customHeight="1" x14ac:dyDescent="0.2">
      <c r="A14" s="62">
        <f ca="1">IFERROR(__xludf.DUMMYFUNCTION("""COMPUTED_VALUE"""),10010094)</f>
        <v>10010094</v>
      </c>
      <c r="B14" s="62" t="str">
        <f ca="1">IFERROR(__xludf.DUMMYFUNCTION("""COMPUTED_VALUE"""),"Pantalla Iphone 7P Original")</f>
        <v>Pantalla Iphone 7P Original</v>
      </c>
      <c r="C14" s="75">
        <f ca="1">IFERROR(__xludf.DUMMYFUNCTION("""COMPUTED_VALUE"""),120)</f>
        <v>120</v>
      </c>
      <c r="D14" s="75">
        <f ca="1">IFERROR(__xludf.DUMMYFUNCTION("""COMPUTED_VALUE"""),50)</f>
        <v>50</v>
      </c>
      <c r="E14" s="76">
        <f ca="1">IFERROR(__xludf.DUMMYFUNCTION("""COMPUTED_VALUE"""),170)</f>
        <v>170</v>
      </c>
      <c r="F14" s="77">
        <f ca="1">IFERROR(__xludf.DUMMYFUNCTION("""COMPUTED_VALUE"""),10010094)</f>
        <v>10010094</v>
      </c>
      <c r="G14" s="77" t="str">
        <f t="shared" ca="1" si="0"/>
        <v>si</v>
      </c>
    </row>
    <row r="15" spans="1:7" ht="15.75" customHeight="1" x14ac:dyDescent="0.2">
      <c r="A15" s="62">
        <f ca="1">IFERROR(__xludf.DUMMYFUNCTION("""COMPUTED_VALUE"""),10010096)</f>
        <v>10010096</v>
      </c>
      <c r="B15" s="62" t="str">
        <f ca="1">IFERROR(__xludf.DUMMYFUNCTION("""COMPUTED_VALUE"""),"Pantalla Iphone 8G / SE 2020 Original")</f>
        <v>Pantalla Iphone 8G / SE 2020 Original</v>
      </c>
      <c r="C15" s="75">
        <f ca="1">IFERROR(__xludf.DUMMYFUNCTION("""COMPUTED_VALUE"""),120)</f>
        <v>120</v>
      </c>
      <c r="D15" s="75">
        <f ca="1">IFERROR(__xludf.DUMMYFUNCTION("""COMPUTED_VALUE"""),50)</f>
        <v>50</v>
      </c>
      <c r="E15" s="76">
        <f ca="1">IFERROR(__xludf.DUMMYFUNCTION("""COMPUTED_VALUE"""),170)</f>
        <v>170</v>
      </c>
      <c r="F15" s="77">
        <f ca="1">IFERROR(__xludf.DUMMYFUNCTION("""COMPUTED_VALUE"""),10010096)</f>
        <v>10010096</v>
      </c>
      <c r="G15" s="77" t="str">
        <f t="shared" ca="1" si="0"/>
        <v>si</v>
      </c>
    </row>
    <row r="16" spans="1:7" ht="15.75" customHeight="1" x14ac:dyDescent="0.2">
      <c r="A16" s="62">
        <f ca="1">IFERROR(__xludf.DUMMYFUNCTION("""COMPUTED_VALUE"""),10010098)</f>
        <v>10010098</v>
      </c>
      <c r="B16" s="62" t="str">
        <f ca="1">IFERROR(__xludf.DUMMYFUNCTION("""COMPUTED_VALUE"""),"Pantalla Iphone 8P Original")</f>
        <v>Pantalla Iphone 8P Original</v>
      </c>
      <c r="C16" s="75">
        <f ca="1">IFERROR(__xludf.DUMMYFUNCTION("""COMPUTED_VALUE"""),130)</f>
        <v>130</v>
      </c>
      <c r="D16" s="75">
        <f ca="1">IFERROR(__xludf.DUMMYFUNCTION("""COMPUTED_VALUE"""),50)</f>
        <v>50</v>
      </c>
      <c r="E16" s="76">
        <f ca="1">IFERROR(__xludf.DUMMYFUNCTION("""COMPUTED_VALUE"""),180)</f>
        <v>180</v>
      </c>
      <c r="F16" s="77">
        <f ca="1">IFERROR(__xludf.DUMMYFUNCTION("""COMPUTED_VALUE"""),10010098)</f>
        <v>10010098</v>
      </c>
      <c r="G16" s="77" t="str">
        <f t="shared" ca="1" si="0"/>
        <v>si</v>
      </c>
    </row>
    <row r="17" spans="1:7" ht="15.75" customHeight="1" x14ac:dyDescent="0.2">
      <c r="A17" s="62">
        <f ca="1">IFERROR(__xludf.DUMMYFUNCTION("""COMPUTED_VALUE"""),10010101)</f>
        <v>10010101</v>
      </c>
      <c r="B17" s="62" t="str">
        <f ca="1">IFERROR(__xludf.DUMMYFUNCTION("""COMPUTED_VALUE"""),"Pantalla Iphone X Original")</f>
        <v>Pantalla Iphone X Original</v>
      </c>
      <c r="C17" s="75">
        <f ca="1">IFERROR(__xludf.DUMMYFUNCTION("""COMPUTED_VALUE"""),290)</f>
        <v>290</v>
      </c>
      <c r="D17" s="75">
        <f ca="1">IFERROR(__xludf.DUMMYFUNCTION("""COMPUTED_VALUE"""),50)</f>
        <v>50</v>
      </c>
      <c r="E17" s="76">
        <f ca="1">IFERROR(__xludf.DUMMYFUNCTION("""COMPUTED_VALUE"""),340)</f>
        <v>340</v>
      </c>
      <c r="F17" s="77">
        <f ca="1">IFERROR(__xludf.DUMMYFUNCTION("""COMPUTED_VALUE"""),10010101)</f>
        <v>10010101</v>
      </c>
      <c r="G17" s="77" t="str">
        <f t="shared" ca="1" si="0"/>
        <v>si</v>
      </c>
    </row>
    <row r="18" spans="1:7" ht="15.75" customHeight="1" x14ac:dyDescent="0.2">
      <c r="A18" s="62">
        <f ca="1">IFERROR(__xludf.DUMMYFUNCTION("""COMPUTED_VALUE"""),10010102)</f>
        <v>10010102</v>
      </c>
      <c r="B18" s="62" t="str">
        <f ca="1">IFERROR(__xludf.DUMMYFUNCTION("""COMPUTED_VALUE"""),"Pantalla Iphone XR Original")</f>
        <v>Pantalla Iphone XR Original</v>
      </c>
      <c r="C18" s="75">
        <f ca="1">IFERROR(__xludf.DUMMYFUNCTION("""COMPUTED_VALUE"""),210)</f>
        <v>210</v>
      </c>
      <c r="D18" s="75">
        <f ca="1">IFERROR(__xludf.DUMMYFUNCTION("""COMPUTED_VALUE"""),50)</f>
        <v>50</v>
      </c>
      <c r="E18" s="76">
        <f ca="1">IFERROR(__xludf.DUMMYFUNCTION("""COMPUTED_VALUE"""),260)</f>
        <v>260</v>
      </c>
      <c r="F18" s="77">
        <f ca="1">IFERROR(__xludf.DUMMYFUNCTION("""COMPUTED_VALUE"""),10010102)</f>
        <v>10010102</v>
      </c>
      <c r="G18" s="77" t="str">
        <f t="shared" ca="1" si="0"/>
        <v>si</v>
      </c>
    </row>
    <row r="19" spans="1:7" ht="15.75" customHeight="1" x14ac:dyDescent="0.2">
      <c r="A19" s="62">
        <f ca="1">IFERROR(__xludf.DUMMYFUNCTION("""COMPUTED_VALUE"""),10010106)</f>
        <v>10010106</v>
      </c>
      <c r="B19" s="62" t="str">
        <f ca="1">IFERROR(__xludf.DUMMYFUNCTION("""COMPUTED_VALUE"""),"Pantalla Iphone XS Original")</f>
        <v>Pantalla Iphone XS Original</v>
      </c>
      <c r="C19" s="75">
        <f ca="1">IFERROR(__xludf.DUMMYFUNCTION("""COMPUTED_VALUE"""),290)</f>
        <v>290</v>
      </c>
      <c r="D19" s="75">
        <f ca="1">IFERROR(__xludf.DUMMYFUNCTION("""COMPUTED_VALUE"""),50)</f>
        <v>50</v>
      </c>
      <c r="E19" s="76">
        <f ca="1">IFERROR(__xludf.DUMMYFUNCTION("""COMPUTED_VALUE"""),340)</f>
        <v>340</v>
      </c>
      <c r="F19" s="77">
        <f ca="1">IFERROR(__xludf.DUMMYFUNCTION("""COMPUTED_VALUE"""),10010106)</f>
        <v>10010106</v>
      </c>
      <c r="G19" s="77" t="str">
        <f t="shared" ca="1" si="0"/>
        <v>si</v>
      </c>
    </row>
    <row r="20" spans="1:7" ht="15.75" customHeight="1" x14ac:dyDescent="0.2">
      <c r="A20" s="62">
        <f ca="1">IFERROR(__xludf.DUMMYFUNCTION("""COMPUTED_VALUE"""),10010105)</f>
        <v>10010105</v>
      </c>
      <c r="B20" s="62" t="str">
        <f ca="1">IFERROR(__xludf.DUMMYFUNCTION("""COMPUTED_VALUE"""),"Pantalla Iphone XS Max ORG")</f>
        <v>Pantalla Iphone XS Max ORG</v>
      </c>
      <c r="C20" s="75">
        <f ca="1">IFERROR(__xludf.DUMMYFUNCTION("""COMPUTED_VALUE"""),320)</f>
        <v>320</v>
      </c>
      <c r="D20" s="75">
        <f ca="1">IFERROR(__xludf.DUMMYFUNCTION("""COMPUTED_VALUE"""),50)</f>
        <v>50</v>
      </c>
      <c r="E20" s="76">
        <f ca="1">IFERROR(__xludf.DUMMYFUNCTION("""COMPUTED_VALUE"""),370)</f>
        <v>370</v>
      </c>
      <c r="F20" s="77">
        <f ca="1">IFERROR(__xludf.DUMMYFUNCTION("""COMPUTED_VALUE"""),10010105)</f>
        <v>10010105</v>
      </c>
      <c r="G20" s="77" t="str">
        <f t="shared" ca="1" si="0"/>
        <v>si</v>
      </c>
    </row>
    <row r="21" spans="1:7" ht="15.75" customHeight="1" x14ac:dyDescent="0.2">
      <c r="A21" s="62">
        <f ca="1">IFERROR(__xludf.DUMMYFUNCTION("""COMPUTED_VALUE"""),10010077)</f>
        <v>10010077</v>
      </c>
      <c r="B21" s="62" t="str">
        <f ca="1">IFERROR(__xludf.DUMMYFUNCTION("""COMPUTED_VALUE"""),"Pantalla Iphone 11 Original")</f>
        <v>Pantalla Iphone 11 Original</v>
      </c>
      <c r="C21" s="75">
        <f ca="1">IFERROR(__xludf.DUMMYFUNCTION("""COMPUTED_VALUE"""),220)</f>
        <v>220</v>
      </c>
      <c r="D21" s="75">
        <f ca="1">IFERROR(__xludf.DUMMYFUNCTION("""COMPUTED_VALUE"""),50)</f>
        <v>50</v>
      </c>
      <c r="E21" s="76">
        <f ca="1">IFERROR(__xludf.DUMMYFUNCTION("""COMPUTED_VALUE"""),270)</f>
        <v>270</v>
      </c>
      <c r="F21" s="77">
        <f ca="1">IFERROR(__xludf.DUMMYFUNCTION("""COMPUTED_VALUE"""),10010077)</f>
        <v>10010077</v>
      </c>
      <c r="G21" s="77" t="str">
        <f t="shared" ca="1" si="0"/>
        <v>si</v>
      </c>
    </row>
    <row r="22" spans="1:7" ht="15.75" customHeight="1" x14ac:dyDescent="0.2">
      <c r="A22" s="62">
        <f ca="1">IFERROR(__xludf.DUMMYFUNCTION("""COMPUTED_VALUE"""),10010079)</f>
        <v>10010079</v>
      </c>
      <c r="B22" s="62" t="str">
        <f ca="1">IFERROR(__xludf.DUMMYFUNCTION("""COMPUTED_VALUE"""),"Pantalla Iphone 11 PRO Original")</f>
        <v>Pantalla Iphone 11 PRO Original</v>
      </c>
      <c r="C22" s="75">
        <f ca="1">IFERROR(__xludf.DUMMYFUNCTION("""COMPUTED_VALUE"""),390)</f>
        <v>390</v>
      </c>
      <c r="D22" s="75">
        <f ca="1">IFERROR(__xludf.DUMMYFUNCTION("""COMPUTED_VALUE"""),50)</f>
        <v>50</v>
      </c>
      <c r="E22" s="76">
        <f ca="1">IFERROR(__xludf.DUMMYFUNCTION("""COMPUTED_VALUE"""),440)</f>
        <v>440</v>
      </c>
      <c r="F22" s="77">
        <f ca="1">IFERROR(__xludf.DUMMYFUNCTION("""COMPUTED_VALUE"""),10010079)</f>
        <v>10010079</v>
      </c>
      <c r="G22" s="77" t="str">
        <f t="shared" ca="1" si="0"/>
        <v>si</v>
      </c>
    </row>
    <row r="23" spans="1:7" ht="15.75" customHeight="1" x14ac:dyDescent="0.2">
      <c r="A23" s="62">
        <f ca="1">IFERROR(__xludf.DUMMYFUNCTION("""COMPUTED_VALUE"""),10010078)</f>
        <v>10010078</v>
      </c>
      <c r="B23" s="62" t="str">
        <f ca="1">IFERROR(__xludf.DUMMYFUNCTION("""COMPUTED_VALUE"""),"Pantalla Iphone 11 PRO Max  Original  (oled)")</f>
        <v>Pantalla Iphone 11 PRO Max  Original  (oled)</v>
      </c>
      <c r="C23" s="75">
        <f ca="1">IFERROR(__xludf.DUMMYFUNCTION("""COMPUTED_VALUE"""),440)</f>
        <v>440</v>
      </c>
      <c r="D23" s="75">
        <f ca="1">IFERROR(__xludf.DUMMYFUNCTION("""COMPUTED_VALUE"""),50)</f>
        <v>50</v>
      </c>
      <c r="E23" s="76">
        <f ca="1">IFERROR(__xludf.DUMMYFUNCTION("""COMPUTED_VALUE"""),490)</f>
        <v>490</v>
      </c>
      <c r="F23" s="77">
        <f ca="1">IFERROR(__xludf.DUMMYFUNCTION("""COMPUTED_VALUE"""),10010078)</f>
        <v>10010078</v>
      </c>
      <c r="G23" s="77" t="str">
        <f t="shared" ca="1" si="0"/>
        <v>si</v>
      </c>
    </row>
    <row r="24" spans="1:7" ht="15.75" customHeight="1" x14ac:dyDescent="0.2">
      <c r="A24" s="62">
        <f ca="1">IFERROR(__xludf.DUMMYFUNCTION("""COMPUTED_VALUE"""),10160015)</f>
        <v>10160015</v>
      </c>
      <c r="B24" s="62" t="str">
        <f ca="1">IFERROR(__xludf.DUMMYFUNCTION("""COMPUTED_VALUE"""),"Pantalla Iphone 12  / 12 PRO Original")</f>
        <v>Pantalla Iphone 12  / 12 PRO Original</v>
      </c>
      <c r="C24" s="75">
        <f ca="1">IFERROR(__xludf.DUMMYFUNCTION("""COMPUTED_VALUE"""),560)</f>
        <v>560</v>
      </c>
      <c r="D24" s="75">
        <f ca="1">IFERROR(__xludf.DUMMYFUNCTION("""COMPUTED_VALUE"""),100)</f>
        <v>100</v>
      </c>
      <c r="E24" s="76">
        <f ca="1">IFERROR(__xludf.DUMMYFUNCTION("""COMPUTED_VALUE"""),660)</f>
        <v>660</v>
      </c>
      <c r="F24" s="77">
        <f ca="1">IFERROR(__xludf.DUMMYFUNCTION("""COMPUTED_VALUE"""),10160015)</f>
        <v>10160015</v>
      </c>
      <c r="G24" s="77" t="str">
        <f t="shared" ca="1" si="0"/>
        <v>si</v>
      </c>
    </row>
    <row r="25" spans="1:7" ht="12.75" x14ac:dyDescent="0.2">
      <c r="A25" s="62">
        <f ca="1">IFERROR(__xludf.DUMMYFUNCTION("""COMPUTED_VALUE"""),10010408)</f>
        <v>10010408</v>
      </c>
      <c r="B25" s="62" t="str">
        <f ca="1">IFERROR(__xludf.DUMMYFUNCTION("""COMPUTED_VALUE"""),"Pantalla Iphone 12  Mini Original")</f>
        <v>Pantalla Iphone 12  Mini Original</v>
      </c>
      <c r="C25" s="75">
        <f ca="1">IFERROR(__xludf.DUMMYFUNCTION("""COMPUTED_VALUE"""),490)</f>
        <v>490</v>
      </c>
      <c r="D25" s="75">
        <f ca="1">IFERROR(__xludf.DUMMYFUNCTION("""COMPUTED_VALUE"""),100)</f>
        <v>100</v>
      </c>
      <c r="E25" s="76">
        <f ca="1">IFERROR(__xludf.DUMMYFUNCTION("""COMPUTED_VALUE"""),590)</f>
        <v>590</v>
      </c>
      <c r="F25" s="77">
        <f ca="1">IFERROR(__xludf.DUMMYFUNCTION("""COMPUTED_VALUE"""),10010408)</f>
        <v>10010408</v>
      </c>
      <c r="G25" s="77" t="str">
        <f t="shared" ca="1" si="0"/>
        <v>si</v>
      </c>
    </row>
    <row r="26" spans="1:7" ht="12.75" x14ac:dyDescent="0.2">
      <c r="A26" s="62">
        <f ca="1">IFERROR(__xludf.DUMMYFUNCTION("""COMPUTED_VALUE"""),10160016)</f>
        <v>10160016</v>
      </c>
      <c r="B26" s="62" t="str">
        <f ca="1">IFERROR(__xludf.DUMMYFUNCTION("""COMPUTED_VALUE"""),"Pantalla Xiaomi  Mi 12 FRAME")</f>
        <v>Pantalla Xiaomi  Mi 12 FRAME</v>
      </c>
      <c r="C26" s="75">
        <f ca="1">IFERROR(__xludf.DUMMYFUNCTION("""COMPUTED_VALUE"""),390)</f>
        <v>390</v>
      </c>
      <c r="D26" s="75">
        <f ca="1">IFERROR(__xludf.DUMMYFUNCTION("""COMPUTED_VALUE"""),100)</f>
        <v>100</v>
      </c>
      <c r="E26" s="76">
        <f ca="1">IFERROR(__xludf.DUMMYFUNCTION("""COMPUTED_VALUE"""),490)</f>
        <v>490</v>
      </c>
      <c r="F26" s="77">
        <f ca="1">IFERROR(__xludf.DUMMYFUNCTION("""COMPUTED_VALUE"""),10160016)</f>
        <v>10160016</v>
      </c>
      <c r="G26" s="77" t="str">
        <f t="shared" ca="1" si="0"/>
        <v>si</v>
      </c>
    </row>
    <row r="27" spans="1:7" ht="12.75" x14ac:dyDescent="0.2">
      <c r="A27" s="62">
        <f ca="1">IFERROR(__xludf.DUMMYFUNCTION("""COMPUTED_VALUE"""),10160017)</f>
        <v>10160017</v>
      </c>
      <c r="B27" s="62" t="str">
        <f ca="1">IFERROR(__xludf.DUMMYFUNCTION("""COMPUTED_VALUE"""),"Pantalla Iphone 12 PRO Max  Original  (oled)")</f>
        <v>Pantalla Iphone 12 PRO Max  Original  (oled)</v>
      </c>
      <c r="C27" s="75">
        <f ca="1">IFERROR(__xludf.DUMMYFUNCTION("""COMPUTED_VALUE"""),790)</f>
        <v>790</v>
      </c>
      <c r="D27" s="75">
        <f ca="1">IFERROR(__xludf.DUMMYFUNCTION("""COMPUTED_VALUE"""),200)</f>
        <v>200</v>
      </c>
      <c r="E27" s="76">
        <f ca="1">IFERROR(__xludf.DUMMYFUNCTION("""COMPUTED_VALUE"""),990)</f>
        <v>990</v>
      </c>
      <c r="F27" s="77">
        <f ca="1">IFERROR(__xludf.DUMMYFUNCTION("""COMPUTED_VALUE"""),10160017)</f>
        <v>10160017</v>
      </c>
      <c r="G27" s="77" t="str">
        <f t="shared" ca="1" si="0"/>
        <v>si</v>
      </c>
    </row>
    <row r="28" spans="1:7" ht="12.75" x14ac:dyDescent="0.2">
      <c r="A28" s="62">
        <f ca="1">IFERROR(__xludf.DUMMYFUNCTION("""COMPUTED_VALUE"""),10160197)</f>
        <v>10160197</v>
      </c>
      <c r="B28" s="62" t="str">
        <f ca="1">IFERROR(__xludf.DUMMYFUNCTION("""COMPUTED_VALUE"""),"Pantalla Iphone 13 Original")</f>
        <v>Pantalla Iphone 13 Original</v>
      </c>
      <c r="C28" s="75">
        <f ca="1">IFERROR(__xludf.DUMMYFUNCTION("""COMPUTED_VALUE"""),640)</f>
        <v>640</v>
      </c>
      <c r="D28" s="75">
        <f ca="1">IFERROR(__xludf.DUMMYFUNCTION("""COMPUTED_VALUE"""),150)</f>
        <v>150</v>
      </c>
      <c r="E28" s="76">
        <f ca="1">IFERROR(__xludf.DUMMYFUNCTION("""COMPUTED_VALUE"""),790)</f>
        <v>790</v>
      </c>
      <c r="F28" s="77">
        <f ca="1">IFERROR(__xludf.DUMMYFUNCTION("""COMPUTED_VALUE"""),10160197)</f>
        <v>10160197</v>
      </c>
      <c r="G28" s="77" t="str">
        <f t="shared" ca="1" si="0"/>
        <v>si</v>
      </c>
    </row>
    <row r="29" spans="1:7" ht="12.75" x14ac:dyDescent="0.2">
      <c r="A29" s="62">
        <f ca="1">IFERROR(__xludf.DUMMYFUNCTION("""COMPUTED_VALUE"""),10160217)</f>
        <v>10160217</v>
      </c>
      <c r="B29" s="62" t="str">
        <f ca="1">IFERROR(__xludf.DUMMYFUNCTION("""COMPUTED_VALUE"""),"Pantalla Iphone 13 Mini  Original")</f>
        <v>Pantalla Iphone 13 Mini  Original</v>
      </c>
      <c r="C29" s="75">
        <f ca="1">IFERROR(__xludf.DUMMYFUNCTION("""COMPUTED_VALUE"""),540)</f>
        <v>540</v>
      </c>
      <c r="D29" s="75">
        <f ca="1">IFERROR(__xludf.DUMMYFUNCTION("""COMPUTED_VALUE"""),100)</f>
        <v>100</v>
      </c>
      <c r="E29" s="76">
        <f ca="1">IFERROR(__xludf.DUMMYFUNCTION("""COMPUTED_VALUE"""),640)</f>
        <v>640</v>
      </c>
      <c r="F29" s="77">
        <f ca="1">IFERROR(__xludf.DUMMYFUNCTION("""COMPUTED_VALUE"""),10160217)</f>
        <v>10160217</v>
      </c>
      <c r="G29" s="77" t="str">
        <f t="shared" ca="1" si="0"/>
        <v>si</v>
      </c>
    </row>
    <row r="30" spans="1:7" ht="12.75" x14ac:dyDescent="0.2">
      <c r="A30" s="62">
        <f ca="1">IFERROR(__xludf.DUMMYFUNCTION("""COMPUTED_VALUE"""),10160198)</f>
        <v>10160198</v>
      </c>
      <c r="B30" s="62" t="str">
        <f ca="1">IFERROR(__xludf.DUMMYFUNCTION("""COMPUTED_VALUE"""),"Pantalla Iphone 13 Pro Original")</f>
        <v>Pantalla Iphone 13 Pro Original</v>
      </c>
      <c r="C30" s="75">
        <f ca="1">IFERROR(__xludf.DUMMYFUNCTION("""COMPUTED_VALUE"""),1040)</f>
        <v>1040</v>
      </c>
      <c r="D30" s="75">
        <f ca="1">IFERROR(__xludf.DUMMYFUNCTION("""COMPUTED_VALUE"""),150)</f>
        <v>150</v>
      </c>
      <c r="E30" s="76">
        <f ca="1">IFERROR(__xludf.DUMMYFUNCTION("""COMPUTED_VALUE"""),1190)</f>
        <v>1190</v>
      </c>
      <c r="F30" s="77">
        <f ca="1">IFERROR(__xludf.DUMMYFUNCTION("""COMPUTED_VALUE"""),10160198)</f>
        <v>10160198</v>
      </c>
      <c r="G30" s="77" t="str">
        <f t="shared" ca="1" si="0"/>
        <v>si</v>
      </c>
    </row>
    <row r="31" spans="1:7" ht="12.75" x14ac:dyDescent="0.2">
      <c r="A31" s="62">
        <f ca="1">IFERROR(__xludf.DUMMYFUNCTION("""COMPUTED_VALUE"""),10160199)</f>
        <v>10160199</v>
      </c>
      <c r="B31" s="62" t="str">
        <f ca="1">IFERROR(__xludf.DUMMYFUNCTION("""COMPUTED_VALUE"""),"Pantalla Iphone 13 Pro Max  Original")</f>
        <v>Pantalla Iphone 13 Pro Max  Original</v>
      </c>
      <c r="C31" s="75">
        <f ca="1">IFERROR(__xludf.DUMMYFUNCTION("""COMPUTED_VALUE"""),1190)</f>
        <v>1190</v>
      </c>
      <c r="D31" s="75">
        <f ca="1">IFERROR(__xludf.DUMMYFUNCTION("""COMPUTED_VALUE"""),200)</f>
        <v>200</v>
      </c>
      <c r="E31" s="76">
        <f ca="1">IFERROR(__xludf.DUMMYFUNCTION("""COMPUTED_VALUE"""),1390)</f>
        <v>1390</v>
      </c>
      <c r="F31" s="77">
        <f ca="1">IFERROR(__xludf.DUMMYFUNCTION("""COMPUTED_VALUE"""),10160199)</f>
        <v>10160199</v>
      </c>
      <c r="G31" s="77" t="str">
        <f t="shared" ca="1" si="0"/>
        <v>si</v>
      </c>
    </row>
    <row r="32" spans="1:7" ht="12.75" x14ac:dyDescent="0.2">
      <c r="A32" s="62">
        <f ca="1">IFERROR(__xludf.DUMMYFUNCTION("""COMPUTED_VALUE"""),10010236)</f>
        <v>10010236</v>
      </c>
      <c r="B32" s="62" t="str">
        <f ca="1">IFERROR(__xludf.DUMMYFUNCTION("""COMPUTED_VALUE"""),"Pantalla Samsung S3 AAA")</f>
        <v>Pantalla Samsung S3 AAA</v>
      </c>
      <c r="C32" s="75">
        <f ca="1">IFERROR(__xludf.DUMMYFUNCTION("""COMPUTED_VALUE"""),60)</f>
        <v>60</v>
      </c>
      <c r="D32" s="75">
        <f ca="1">IFERROR(__xludf.DUMMYFUNCTION("""COMPUTED_VALUE"""),30)</f>
        <v>30</v>
      </c>
      <c r="E32" s="76">
        <f ca="1">IFERROR(__xludf.DUMMYFUNCTION("""COMPUTED_VALUE"""),90)</f>
        <v>90</v>
      </c>
      <c r="F32" s="77">
        <f ca="1">IFERROR(__xludf.DUMMYFUNCTION("""COMPUTED_VALUE"""),10010236)</f>
        <v>10010236</v>
      </c>
      <c r="G32" s="77" t="str">
        <f t="shared" ca="1" si="0"/>
        <v>si</v>
      </c>
    </row>
    <row r="33" spans="1:7" ht="12.75" x14ac:dyDescent="0.2">
      <c r="A33" s="62">
        <f ca="1">IFERROR(__xludf.DUMMYFUNCTION("""COMPUTED_VALUE"""),10010238)</f>
        <v>10010238</v>
      </c>
      <c r="B33" s="62" t="str">
        <f ca="1">IFERROR(__xludf.DUMMYFUNCTION("""COMPUTED_VALUE"""),"Pantalla Samsung S5 AAA")</f>
        <v>Pantalla Samsung S5 AAA</v>
      </c>
      <c r="C33" s="75">
        <f ca="1">IFERROR(__xludf.DUMMYFUNCTION("""COMPUTED_VALUE"""),60)</f>
        <v>60</v>
      </c>
      <c r="D33" s="75">
        <f ca="1">IFERROR(__xludf.DUMMYFUNCTION("""COMPUTED_VALUE"""),30)</f>
        <v>30</v>
      </c>
      <c r="E33" s="76">
        <f ca="1">IFERROR(__xludf.DUMMYFUNCTION("""COMPUTED_VALUE"""),90)</f>
        <v>90</v>
      </c>
      <c r="F33" s="77">
        <f ca="1">IFERROR(__xludf.DUMMYFUNCTION("""COMPUTED_VALUE"""),10010238)</f>
        <v>10010238</v>
      </c>
      <c r="G33" s="77" t="str">
        <f t="shared" ca="1" si="0"/>
        <v>si</v>
      </c>
    </row>
    <row r="34" spans="1:7" ht="12.75" x14ac:dyDescent="0.2">
      <c r="A34" s="62">
        <f ca="1">IFERROR(__xludf.DUMMYFUNCTION("""COMPUTED_VALUE"""),10010241)</f>
        <v>10010241</v>
      </c>
      <c r="B34" s="62" t="str">
        <f ca="1">IFERROR(__xludf.DUMMYFUNCTION("""COMPUTED_VALUE"""),"Pantalla Samsung S6 Original")</f>
        <v>Pantalla Samsung S6 Original</v>
      </c>
      <c r="C34" s="75">
        <f ca="1">IFERROR(__xludf.DUMMYFUNCTION("""COMPUTED_VALUE"""),210)</f>
        <v>210</v>
      </c>
      <c r="D34" s="75">
        <f ca="1">IFERROR(__xludf.DUMMYFUNCTION("""COMPUTED_VALUE"""),50)</f>
        <v>50</v>
      </c>
      <c r="E34" s="76">
        <f ca="1">IFERROR(__xludf.DUMMYFUNCTION("""COMPUTED_VALUE"""),260)</f>
        <v>260</v>
      </c>
      <c r="F34" s="77">
        <f ca="1">IFERROR(__xludf.DUMMYFUNCTION("""COMPUTED_VALUE"""),10010241)</f>
        <v>10010241</v>
      </c>
      <c r="G34" s="77" t="str">
        <f t="shared" ca="1" si="0"/>
        <v>si</v>
      </c>
    </row>
    <row r="35" spans="1:7" ht="12.75" x14ac:dyDescent="0.2">
      <c r="A35" s="62">
        <f ca="1">IFERROR(__xludf.DUMMYFUNCTION("""COMPUTED_VALUE"""),10010239)</f>
        <v>10010239</v>
      </c>
      <c r="B35" s="62" t="str">
        <f ca="1">IFERROR(__xludf.DUMMYFUNCTION("""COMPUTED_VALUE"""),"Pantalla Samsung S6 EDGE Original")</f>
        <v>Pantalla Samsung S6 EDGE Original</v>
      </c>
      <c r="C35" s="75">
        <f ca="1">IFERROR(__xludf.DUMMYFUNCTION("""COMPUTED_VALUE"""),300)</f>
        <v>300</v>
      </c>
      <c r="D35" s="75">
        <f ca="1">IFERROR(__xludf.DUMMYFUNCTION("""COMPUTED_VALUE"""),50)</f>
        <v>50</v>
      </c>
      <c r="E35" s="76">
        <f ca="1">IFERROR(__xludf.DUMMYFUNCTION("""COMPUTED_VALUE"""),350)</f>
        <v>350</v>
      </c>
      <c r="F35" s="77">
        <f ca="1">IFERROR(__xludf.DUMMYFUNCTION("""COMPUTED_VALUE"""),10010239)</f>
        <v>10010239</v>
      </c>
      <c r="G35" s="77" t="str">
        <f t="shared" ca="1" si="0"/>
        <v>si</v>
      </c>
    </row>
    <row r="36" spans="1:7" ht="12.75" x14ac:dyDescent="0.2">
      <c r="A36" s="62">
        <f ca="1">IFERROR(__xludf.DUMMYFUNCTION("""COMPUTED_VALUE"""),10010242)</f>
        <v>10010242</v>
      </c>
      <c r="B36" s="62" t="str">
        <f ca="1">IFERROR(__xludf.DUMMYFUNCTION("""COMPUTED_VALUE"""),"Pantalla Samsung S7 con marco Original")</f>
        <v>Pantalla Samsung S7 con marco Original</v>
      </c>
      <c r="C36" s="75">
        <f ca="1">IFERROR(__xludf.DUMMYFUNCTION("""COMPUTED_VALUE"""),320)</f>
        <v>320</v>
      </c>
      <c r="D36" s="75">
        <f ca="1">IFERROR(__xludf.DUMMYFUNCTION("""COMPUTED_VALUE"""),80)</f>
        <v>80</v>
      </c>
      <c r="E36" s="76">
        <f ca="1">IFERROR(__xludf.DUMMYFUNCTION("""COMPUTED_VALUE"""),400)</f>
        <v>400</v>
      </c>
      <c r="F36" s="77">
        <f ca="1">IFERROR(__xludf.DUMMYFUNCTION("""COMPUTED_VALUE"""),10010242)</f>
        <v>10010242</v>
      </c>
      <c r="G36" s="77" t="str">
        <f t="shared" ca="1" si="0"/>
        <v>si</v>
      </c>
    </row>
    <row r="37" spans="1:7" ht="12.75" x14ac:dyDescent="0.2">
      <c r="A37" s="62">
        <f ca="1">IFERROR(__xludf.DUMMYFUNCTION("""COMPUTED_VALUE"""),10010243)</f>
        <v>10010243</v>
      </c>
      <c r="B37" s="62" t="str">
        <f ca="1">IFERROR(__xludf.DUMMYFUNCTION("""COMPUTED_VALUE"""),"Pantalla Samsung S7 EDGE con Marco Original")</f>
        <v>Pantalla Samsung S7 EDGE con Marco Original</v>
      </c>
      <c r="C37" s="75">
        <f ca="1">IFERROR(__xludf.DUMMYFUNCTION("""COMPUTED_VALUE"""),460)</f>
        <v>460</v>
      </c>
      <c r="D37" s="75">
        <f ca="1">IFERROR(__xludf.DUMMYFUNCTION("""COMPUTED_VALUE"""),80)</f>
        <v>80</v>
      </c>
      <c r="E37" s="76">
        <f ca="1">IFERROR(__xludf.DUMMYFUNCTION("""COMPUTED_VALUE"""),540)</f>
        <v>540</v>
      </c>
      <c r="F37" s="77">
        <f ca="1">IFERROR(__xludf.DUMMYFUNCTION("""COMPUTED_VALUE"""),10010243)</f>
        <v>10010243</v>
      </c>
      <c r="G37" s="77" t="str">
        <f t="shared" ca="1" si="0"/>
        <v>si</v>
      </c>
    </row>
    <row r="38" spans="1:7" ht="12.75" x14ac:dyDescent="0.2">
      <c r="A38" s="62">
        <f ca="1">IFERROR(__xludf.DUMMYFUNCTION("""COMPUTED_VALUE"""),10010244)</f>
        <v>10010244</v>
      </c>
      <c r="B38" s="62" t="str">
        <f ca="1">IFERROR(__xludf.DUMMYFUNCTION("""COMPUTED_VALUE"""),"Pantalla Samsung S8 con Marco Original")</f>
        <v>Pantalla Samsung S8 con Marco Original</v>
      </c>
      <c r="C38" s="75">
        <f ca="1">IFERROR(__xludf.DUMMYFUNCTION("""COMPUTED_VALUE"""),490)</f>
        <v>490</v>
      </c>
      <c r="D38" s="75">
        <f ca="1">IFERROR(__xludf.DUMMYFUNCTION("""COMPUTED_VALUE"""),50)</f>
        <v>50</v>
      </c>
      <c r="E38" s="76">
        <f ca="1">IFERROR(__xludf.DUMMYFUNCTION("""COMPUTED_VALUE"""),540)</f>
        <v>540</v>
      </c>
      <c r="F38" s="77">
        <f ca="1">IFERROR(__xludf.DUMMYFUNCTION("""COMPUTED_VALUE"""),10010244)</f>
        <v>10010244</v>
      </c>
      <c r="G38" s="77" t="str">
        <f t="shared" ca="1" si="0"/>
        <v>si</v>
      </c>
    </row>
    <row r="39" spans="1:7" ht="12.75" x14ac:dyDescent="0.2">
      <c r="A39" s="62">
        <f ca="1">IFERROR(__xludf.DUMMYFUNCTION("""COMPUTED_VALUE"""),10010245)</f>
        <v>10010245</v>
      </c>
      <c r="B39" s="62" t="str">
        <f ca="1">IFERROR(__xludf.DUMMYFUNCTION("""COMPUTED_VALUE"""),"Pantalla Samsung S8 Plus con Marco Original")</f>
        <v>Pantalla Samsung S8 Plus con Marco Original</v>
      </c>
      <c r="C39" s="75">
        <f ca="1">IFERROR(__xludf.DUMMYFUNCTION("""COMPUTED_VALUE"""),590)</f>
        <v>590</v>
      </c>
      <c r="D39" s="75">
        <f ca="1">IFERROR(__xludf.DUMMYFUNCTION("""COMPUTED_VALUE"""),50)</f>
        <v>50</v>
      </c>
      <c r="E39" s="76">
        <f ca="1">IFERROR(__xludf.DUMMYFUNCTION("""COMPUTED_VALUE"""),640)</f>
        <v>640</v>
      </c>
      <c r="F39" s="77">
        <f ca="1">IFERROR(__xludf.DUMMYFUNCTION("""COMPUTED_VALUE"""),10010245)</f>
        <v>10010245</v>
      </c>
      <c r="G39" s="77" t="str">
        <f t="shared" ca="1" si="0"/>
        <v>si</v>
      </c>
    </row>
    <row r="40" spans="1:7" ht="12.75" x14ac:dyDescent="0.2">
      <c r="A40" s="62">
        <f ca="1">IFERROR(__xludf.DUMMYFUNCTION("""COMPUTED_VALUE"""),10010246)</f>
        <v>10010246</v>
      </c>
      <c r="B40" s="62" t="str">
        <f ca="1">IFERROR(__xludf.DUMMYFUNCTION("""COMPUTED_VALUE"""),"Pantalla Samsung S9  con Marco Original")</f>
        <v>Pantalla Samsung S9  con Marco Original</v>
      </c>
      <c r="C40" s="75">
        <f ca="1">IFERROR(__xludf.DUMMYFUNCTION("""COMPUTED_VALUE"""),540)</f>
        <v>540</v>
      </c>
      <c r="D40" s="75">
        <f ca="1">IFERROR(__xludf.DUMMYFUNCTION("""COMPUTED_VALUE"""),50)</f>
        <v>50</v>
      </c>
      <c r="E40" s="76">
        <f ca="1">IFERROR(__xludf.DUMMYFUNCTION("""COMPUTED_VALUE"""),590)</f>
        <v>590</v>
      </c>
      <c r="F40" s="77">
        <f ca="1">IFERROR(__xludf.DUMMYFUNCTION("""COMPUTED_VALUE"""),10010246)</f>
        <v>10010246</v>
      </c>
      <c r="G40" s="77" t="str">
        <f t="shared" ca="1" si="0"/>
        <v>si</v>
      </c>
    </row>
    <row r="41" spans="1:7" ht="12.75" x14ac:dyDescent="0.2">
      <c r="A41" s="62">
        <f ca="1">IFERROR(__xludf.DUMMYFUNCTION("""COMPUTED_VALUE"""),10010247)</f>
        <v>10010247</v>
      </c>
      <c r="B41" s="62" t="str">
        <f ca="1">IFERROR(__xludf.DUMMYFUNCTION("""COMPUTED_VALUE"""),"Pantalla Samsung S9 PLUS con Marco Original")</f>
        <v>Pantalla Samsung S9 PLUS con Marco Original</v>
      </c>
      <c r="C41" s="75">
        <f ca="1">IFERROR(__xludf.DUMMYFUNCTION("""COMPUTED_VALUE"""),590)</f>
        <v>590</v>
      </c>
      <c r="D41" s="75">
        <f ca="1">IFERROR(__xludf.DUMMYFUNCTION("""COMPUTED_VALUE"""),50)</f>
        <v>50</v>
      </c>
      <c r="E41" s="76">
        <f ca="1">IFERROR(__xludf.DUMMYFUNCTION("""COMPUTED_VALUE"""),640)</f>
        <v>640</v>
      </c>
      <c r="F41" s="77">
        <f ca="1">IFERROR(__xludf.DUMMYFUNCTION("""COMPUTED_VALUE"""),10010247)</f>
        <v>10010247</v>
      </c>
      <c r="G41" s="77" t="str">
        <f t="shared" ca="1" si="0"/>
        <v>si</v>
      </c>
    </row>
    <row r="42" spans="1:7" ht="12.75" x14ac:dyDescent="0.2">
      <c r="A42" s="62">
        <f ca="1">IFERROR(__xludf.DUMMYFUNCTION("""COMPUTED_VALUE"""),10010231)</f>
        <v>10010231</v>
      </c>
      <c r="B42" s="62" t="str">
        <f ca="1">IFERROR(__xludf.DUMMYFUNCTION("""COMPUTED_VALUE"""),"Pantalla Samsung S10  con marco Original")</f>
        <v>Pantalla Samsung S10  con marco Original</v>
      </c>
      <c r="C42" s="75">
        <f ca="1">IFERROR(__xludf.DUMMYFUNCTION("""COMPUTED_VALUE"""),740)</f>
        <v>740</v>
      </c>
      <c r="D42" s="75">
        <f ca="1">IFERROR(__xludf.DUMMYFUNCTION("""COMPUTED_VALUE"""),50)</f>
        <v>50</v>
      </c>
      <c r="E42" s="76">
        <f ca="1">IFERROR(__xludf.DUMMYFUNCTION("""COMPUTED_VALUE"""),790)</f>
        <v>790</v>
      </c>
      <c r="F42" s="77">
        <f ca="1">IFERROR(__xludf.DUMMYFUNCTION("""COMPUTED_VALUE"""),10010231)</f>
        <v>10010231</v>
      </c>
      <c r="G42" s="77" t="str">
        <f t="shared" ca="1" si="0"/>
        <v>si</v>
      </c>
    </row>
    <row r="43" spans="1:7" ht="12.75" x14ac:dyDescent="0.2">
      <c r="A43" s="62">
        <f ca="1">IFERROR(__xludf.DUMMYFUNCTION("""COMPUTED_VALUE"""),10010232)</f>
        <v>10010232</v>
      </c>
      <c r="B43" s="62" t="str">
        <f ca="1">IFERROR(__xludf.DUMMYFUNCTION("""COMPUTED_VALUE"""),"Pantalla Samsung S10 PLUS con marco Original")</f>
        <v>Pantalla Samsung S10 PLUS con marco Original</v>
      </c>
      <c r="C43" s="75">
        <f ca="1">IFERROR(__xludf.DUMMYFUNCTION("""COMPUTED_VALUE"""),840)</f>
        <v>840</v>
      </c>
      <c r="D43" s="75">
        <f ca="1">IFERROR(__xludf.DUMMYFUNCTION("""COMPUTED_VALUE"""),50)</f>
        <v>50</v>
      </c>
      <c r="E43" s="76">
        <f ca="1">IFERROR(__xludf.DUMMYFUNCTION("""COMPUTED_VALUE"""),890)</f>
        <v>890</v>
      </c>
      <c r="F43" s="77">
        <f ca="1">IFERROR(__xludf.DUMMYFUNCTION("""COMPUTED_VALUE"""),10010232)</f>
        <v>10010232</v>
      </c>
      <c r="G43" s="77" t="str">
        <f t="shared" ca="1" si="0"/>
        <v>si</v>
      </c>
    </row>
    <row r="44" spans="1:7" ht="12.75" x14ac:dyDescent="0.2">
      <c r="A44" s="62">
        <f ca="1">IFERROR(__xludf.DUMMYFUNCTION("""COMPUTED_VALUE"""),10010233)</f>
        <v>10010233</v>
      </c>
      <c r="B44" s="62" t="str">
        <f ca="1">IFERROR(__xludf.DUMMYFUNCTION("""COMPUTED_VALUE"""),"Pantalla Samsung S10E con marco Original")</f>
        <v>Pantalla Samsung S10E con marco Original</v>
      </c>
      <c r="C44" s="75">
        <f ca="1">IFERROR(__xludf.DUMMYFUNCTION("""COMPUTED_VALUE"""),540)</f>
        <v>540</v>
      </c>
      <c r="D44" s="75">
        <f ca="1">IFERROR(__xludf.DUMMYFUNCTION("""COMPUTED_VALUE"""),50)</f>
        <v>50</v>
      </c>
      <c r="E44" s="76">
        <f ca="1">IFERROR(__xludf.DUMMYFUNCTION("""COMPUTED_VALUE"""),590)</f>
        <v>590</v>
      </c>
      <c r="F44" s="77">
        <f ca="1">IFERROR(__xludf.DUMMYFUNCTION("""COMPUTED_VALUE"""),10010233)</f>
        <v>10010233</v>
      </c>
      <c r="G44" s="77" t="str">
        <f t="shared" ca="1" si="0"/>
        <v>si</v>
      </c>
    </row>
    <row r="45" spans="1:7" ht="12.75" x14ac:dyDescent="0.2">
      <c r="A45" s="62">
        <f ca="1">IFERROR(__xludf.DUMMYFUNCTION("""COMPUTED_VALUE"""),10010375)</f>
        <v>10010375</v>
      </c>
      <c r="B45" s="62" t="str">
        <f ca="1">IFERROR(__xludf.DUMMYFUNCTION("""COMPUTED_VALUE"""),"Pantalla Samsung S10 Lite Original")</f>
        <v>Pantalla Samsung S10 Lite Original</v>
      </c>
      <c r="C45" s="75">
        <f ca="1">IFERROR(__xludf.DUMMYFUNCTION("""COMPUTED_VALUE"""),540)</f>
        <v>540</v>
      </c>
      <c r="D45" s="75">
        <f ca="1">IFERROR(__xludf.DUMMYFUNCTION("""COMPUTED_VALUE"""),50)</f>
        <v>50</v>
      </c>
      <c r="E45" s="76">
        <f ca="1">IFERROR(__xludf.DUMMYFUNCTION("""COMPUTED_VALUE"""),590)</f>
        <v>590</v>
      </c>
      <c r="F45" s="77">
        <f ca="1">IFERROR(__xludf.DUMMYFUNCTION("""COMPUTED_VALUE"""),10010375)</f>
        <v>10010375</v>
      </c>
      <c r="G45" s="77" t="str">
        <f t="shared" ca="1" si="0"/>
        <v>si</v>
      </c>
    </row>
    <row r="46" spans="1:7" ht="12.75" x14ac:dyDescent="0.2">
      <c r="A46" s="62">
        <f ca="1">IFERROR(__xludf.DUMMYFUNCTION("""COMPUTED_VALUE"""),10010234)</f>
        <v>10010234</v>
      </c>
      <c r="B46" s="62" t="str">
        <f ca="1">IFERROR(__xludf.DUMMYFUNCTION("""COMPUTED_VALUE"""),"Pantalla Samsung S20  con marco Original")</f>
        <v>Pantalla Samsung S20  con marco Original</v>
      </c>
      <c r="C46" s="75">
        <f ca="1">IFERROR(__xludf.DUMMYFUNCTION("""COMPUTED_VALUE"""),790)</f>
        <v>790</v>
      </c>
      <c r="D46" s="75">
        <f ca="1">IFERROR(__xludf.DUMMYFUNCTION("""COMPUTED_VALUE"""),100)</f>
        <v>100</v>
      </c>
      <c r="E46" s="76">
        <f ca="1">IFERROR(__xludf.DUMMYFUNCTION("""COMPUTED_VALUE"""),890)</f>
        <v>890</v>
      </c>
      <c r="F46" s="77">
        <f ca="1">IFERROR(__xludf.DUMMYFUNCTION("""COMPUTED_VALUE"""),10010234)</f>
        <v>10010234</v>
      </c>
      <c r="G46" s="77" t="str">
        <f t="shared" ca="1" si="0"/>
        <v>si</v>
      </c>
    </row>
    <row r="47" spans="1:7" ht="12.75" x14ac:dyDescent="0.2">
      <c r="A47" s="62">
        <f ca="1">IFERROR(__xludf.DUMMYFUNCTION("""COMPUTED_VALUE"""),10010235)</f>
        <v>10010235</v>
      </c>
      <c r="B47" s="62" t="str">
        <f ca="1">IFERROR(__xludf.DUMMYFUNCTION("""COMPUTED_VALUE"""),"Pantalla Samsung S20 PLUS con marco Original")</f>
        <v>Pantalla Samsung S20 PLUS con marco Original</v>
      </c>
      <c r="C47" s="75">
        <f ca="1">IFERROR(__xludf.DUMMYFUNCTION("""COMPUTED_VALUE"""),840)</f>
        <v>840</v>
      </c>
      <c r="D47" s="75">
        <f ca="1">IFERROR(__xludf.DUMMYFUNCTION("""COMPUTED_VALUE"""),100)</f>
        <v>100</v>
      </c>
      <c r="E47" s="76">
        <f ca="1">IFERROR(__xludf.DUMMYFUNCTION("""COMPUTED_VALUE"""),940)</f>
        <v>940</v>
      </c>
      <c r="F47" s="77">
        <f ca="1">IFERROR(__xludf.DUMMYFUNCTION("""COMPUTED_VALUE"""),10010235)</f>
        <v>10010235</v>
      </c>
      <c r="G47" s="77" t="str">
        <f t="shared" ca="1" si="0"/>
        <v>si</v>
      </c>
    </row>
    <row r="48" spans="1:7" ht="12.75" x14ac:dyDescent="0.2">
      <c r="A48" s="62">
        <f ca="1">IFERROR(__xludf.DUMMYFUNCTION("""COMPUTED_VALUE"""),10010369)</f>
        <v>10010369</v>
      </c>
      <c r="B48" s="62" t="str">
        <f ca="1">IFERROR(__xludf.DUMMYFUNCTION("""COMPUTED_VALUE"""),"Pantalla Samsung S20 Ultra  con marco Original")</f>
        <v>Pantalla Samsung S20 Ultra  con marco Original</v>
      </c>
      <c r="C48" s="75">
        <f ca="1">IFERROR(__xludf.DUMMYFUNCTION("""COMPUTED_VALUE"""),890)</f>
        <v>890</v>
      </c>
      <c r="D48" s="75">
        <f ca="1">IFERROR(__xludf.DUMMYFUNCTION("""COMPUTED_VALUE"""),100)</f>
        <v>100</v>
      </c>
      <c r="E48" s="76">
        <f ca="1">IFERROR(__xludf.DUMMYFUNCTION("""COMPUTED_VALUE"""),990)</f>
        <v>990</v>
      </c>
      <c r="F48" s="77">
        <f ca="1">IFERROR(__xludf.DUMMYFUNCTION("""COMPUTED_VALUE"""),10010369)</f>
        <v>10010369</v>
      </c>
      <c r="G48" s="77" t="str">
        <f t="shared" ca="1" si="0"/>
        <v>si</v>
      </c>
    </row>
    <row r="49" spans="1:7" ht="12.75" x14ac:dyDescent="0.2">
      <c r="A49" s="62">
        <f ca="1">IFERROR(__xludf.DUMMYFUNCTION("""COMPUTED_VALUE"""),10010379)</f>
        <v>10010379</v>
      </c>
      <c r="B49" s="62" t="str">
        <f ca="1">IFERROR(__xludf.DUMMYFUNCTION("""COMPUTED_VALUE"""),"Pantalla Samsung S20 FE  con marco Original")</f>
        <v>Pantalla Samsung S20 FE  con marco Original</v>
      </c>
      <c r="C49" s="75">
        <f ca="1">IFERROR(__xludf.DUMMYFUNCTION("""COMPUTED_VALUE"""),520)</f>
        <v>520</v>
      </c>
      <c r="D49" s="75">
        <f ca="1">IFERROR(__xludf.DUMMYFUNCTION("""COMPUTED_VALUE"""),100)</f>
        <v>100</v>
      </c>
      <c r="E49" s="76">
        <f ca="1">IFERROR(__xludf.DUMMYFUNCTION("""COMPUTED_VALUE"""),620)</f>
        <v>620</v>
      </c>
      <c r="F49" s="77">
        <f ca="1">IFERROR(__xludf.DUMMYFUNCTION("""COMPUTED_VALUE"""),10010379)</f>
        <v>10010379</v>
      </c>
      <c r="G49" s="77" t="str">
        <f t="shared" ca="1" si="0"/>
        <v>si</v>
      </c>
    </row>
    <row r="50" spans="1:7" ht="12.75" x14ac:dyDescent="0.2">
      <c r="A50" s="62">
        <f ca="1">IFERROR(__xludf.DUMMYFUNCTION("""COMPUTED_VALUE"""),10010380)</f>
        <v>10010380</v>
      </c>
      <c r="B50" s="62" t="str">
        <f ca="1">IFERROR(__xludf.DUMMYFUNCTION("""COMPUTED_VALUE"""),"Pantalla Samsung S21  con marco Original")</f>
        <v>Pantalla Samsung S21  con marco Original</v>
      </c>
      <c r="C50" s="75">
        <f ca="1">IFERROR(__xludf.DUMMYFUNCTION("""COMPUTED_VALUE"""),740)</f>
        <v>740</v>
      </c>
      <c r="D50" s="75">
        <f ca="1">IFERROR(__xludf.DUMMYFUNCTION("""COMPUTED_VALUE"""),100)</f>
        <v>100</v>
      </c>
      <c r="E50" s="76">
        <f ca="1">IFERROR(__xludf.DUMMYFUNCTION("""COMPUTED_VALUE"""),840)</f>
        <v>840</v>
      </c>
      <c r="F50" s="77">
        <f ca="1">IFERROR(__xludf.DUMMYFUNCTION("""COMPUTED_VALUE"""),10010380)</f>
        <v>10010380</v>
      </c>
      <c r="G50" s="77" t="str">
        <f t="shared" ca="1" si="0"/>
        <v>si</v>
      </c>
    </row>
    <row r="51" spans="1:7" ht="12.75" x14ac:dyDescent="0.2">
      <c r="A51" s="62">
        <f ca="1">IFERROR(__xludf.DUMMYFUNCTION("""COMPUTED_VALUE"""),10010381)</f>
        <v>10010381</v>
      </c>
      <c r="B51" s="62" t="str">
        <f ca="1">IFERROR(__xludf.DUMMYFUNCTION("""COMPUTED_VALUE"""),"Pantalla Samsung S21 Plus con marco Original")</f>
        <v>Pantalla Samsung S21 Plus con marco Original</v>
      </c>
      <c r="C51" s="75">
        <f ca="1">IFERROR(__xludf.DUMMYFUNCTION("""COMPUTED_VALUE"""),840)</f>
        <v>840</v>
      </c>
      <c r="D51" s="75">
        <f ca="1">IFERROR(__xludf.DUMMYFUNCTION("""COMPUTED_VALUE"""),100)</f>
        <v>100</v>
      </c>
      <c r="E51" s="76">
        <f ca="1">IFERROR(__xludf.DUMMYFUNCTION("""COMPUTED_VALUE"""),940)</f>
        <v>940</v>
      </c>
      <c r="F51" s="77">
        <f ca="1">IFERROR(__xludf.DUMMYFUNCTION("""COMPUTED_VALUE"""),10010381)</f>
        <v>10010381</v>
      </c>
      <c r="G51" s="77" t="str">
        <f t="shared" ca="1" si="0"/>
        <v>si</v>
      </c>
    </row>
    <row r="52" spans="1:7" ht="12.75" x14ac:dyDescent="0.2">
      <c r="A52" s="62">
        <f ca="1">IFERROR(__xludf.DUMMYFUNCTION("""COMPUTED_VALUE"""),10010361)</f>
        <v>10010361</v>
      </c>
      <c r="B52" s="62" t="str">
        <f ca="1">IFERROR(__xludf.DUMMYFUNCTION("""COMPUTED_VALUE"""),"Pantalla Samsung S21 Ultra con marco Original")</f>
        <v>Pantalla Samsung S21 Ultra con marco Original</v>
      </c>
      <c r="C52" s="75">
        <f ca="1">IFERROR(__xludf.DUMMYFUNCTION("""COMPUTED_VALUE"""),1090)</f>
        <v>1090</v>
      </c>
      <c r="D52" s="75">
        <f ca="1">IFERROR(__xludf.DUMMYFUNCTION("""COMPUTED_VALUE"""),100)</f>
        <v>100</v>
      </c>
      <c r="E52" s="76">
        <f ca="1">IFERROR(__xludf.DUMMYFUNCTION("""COMPUTED_VALUE"""),1190)</f>
        <v>1190</v>
      </c>
      <c r="F52" s="77">
        <f ca="1">IFERROR(__xludf.DUMMYFUNCTION("""COMPUTED_VALUE"""),10010361)</f>
        <v>10010361</v>
      </c>
      <c r="G52" s="77" t="str">
        <f t="shared" ca="1" si="0"/>
        <v>si</v>
      </c>
    </row>
    <row r="53" spans="1:7" ht="12.75" x14ac:dyDescent="0.2">
      <c r="A53" s="62">
        <f ca="1">IFERROR(__xludf.DUMMYFUNCTION("""COMPUTED_VALUE"""),10010227)</f>
        <v>10010227</v>
      </c>
      <c r="B53" s="62" t="str">
        <f ca="1">IFERROR(__xludf.DUMMYFUNCTION("""COMPUTED_VALUE"""),"Pantalla Samsung Note 4 AAA")</f>
        <v>Pantalla Samsung Note 4 AAA</v>
      </c>
      <c r="C53" s="75">
        <f ca="1">IFERROR(__xludf.DUMMYFUNCTION("""COMPUTED_VALUE"""),190)</f>
        <v>190</v>
      </c>
      <c r="D53" s="75">
        <f ca="1">IFERROR(__xludf.DUMMYFUNCTION("""COMPUTED_VALUE"""),50)</f>
        <v>50</v>
      </c>
      <c r="E53" s="76">
        <f ca="1">IFERROR(__xludf.DUMMYFUNCTION("""COMPUTED_VALUE"""),240)</f>
        <v>240</v>
      </c>
      <c r="F53" s="77">
        <f ca="1">IFERROR(__xludf.DUMMYFUNCTION("""COMPUTED_VALUE"""),10010227)</f>
        <v>10010227</v>
      </c>
      <c r="G53" s="77" t="str">
        <f t="shared" ca="1" si="0"/>
        <v>si</v>
      </c>
    </row>
    <row r="54" spans="1:7" ht="12.75" x14ac:dyDescent="0.2">
      <c r="A54" s="62">
        <f ca="1">IFERROR(__xludf.DUMMYFUNCTION("""COMPUTED_VALUE"""),10010228)</f>
        <v>10010228</v>
      </c>
      <c r="B54" s="62" t="str">
        <f ca="1">IFERROR(__xludf.DUMMYFUNCTION("""COMPUTED_VALUE"""),"Pantalla Samsung Note 5 OLED")</f>
        <v>Pantalla Samsung Note 5 OLED</v>
      </c>
      <c r="C54" s="75">
        <f ca="1">IFERROR(__xludf.DUMMYFUNCTION("""COMPUTED_VALUE"""),290)</f>
        <v>290</v>
      </c>
      <c r="D54" s="75">
        <f ca="1">IFERROR(__xludf.DUMMYFUNCTION("""COMPUTED_VALUE"""),50)</f>
        <v>50</v>
      </c>
      <c r="E54" s="76">
        <f ca="1">IFERROR(__xludf.DUMMYFUNCTION("""COMPUTED_VALUE"""),340)</f>
        <v>340</v>
      </c>
      <c r="F54" s="77">
        <f ca="1">IFERROR(__xludf.DUMMYFUNCTION("""COMPUTED_VALUE"""),10010228)</f>
        <v>10010228</v>
      </c>
      <c r="G54" s="77" t="str">
        <f t="shared" ca="1" si="0"/>
        <v>si</v>
      </c>
    </row>
    <row r="55" spans="1:7" ht="12.75" x14ac:dyDescent="0.2">
      <c r="A55" s="62">
        <f ca="1">IFERROR(__xludf.DUMMYFUNCTION("""COMPUTED_VALUE"""),10010229)</f>
        <v>10010229</v>
      </c>
      <c r="B55" s="62" t="str">
        <f ca="1">IFERROR(__xludf.DUMMYFUNCTION("""COMPUTED_VALUE"""),"Pantalla Samsung Note 8 CON MARCO Original")</f>
        <v>Pantalla Samsung Note 8 CON MARCO Original</v>
      </c>
      <c r="C55" s="75">
        <f ca="1">IFERROR(__xludf.DUMMYFUNCTION("""COMPUTED_VALUE"""),640)</f>
        <v>640</v>
      </c>
      <c r="D55" s="75">
        <f ca="1">IFERROR(__xludf.DUMMYFUNCTION("""COMPUTED_VALUE"""),50)</f>
        <v>50</v>
      </c>
      <c r="E55" s="76">
        <f ca="1">IFERROR(__xludf.DUMMYFUNCTION("""COMPUTED_VALUE"""),690)</f>
        <v>690</v>
      </c>
      <c r="F55" s="77">
        <f ca="1">IFERROR(__xludf.DUMMYFUNCTION("""COMPUTED_VALUE"""),10010229)</f>
        <v>10010229</v>
      </c>
      <c r="G55" s="77" t="str">
        <f t="shared" ca="1" si="0"/>
        <v>si</v>
      </c>
    </row>
    <row r="56" spans="1:7" ht="12.75" x14ac:dyDescent="0.2">
      <c r="A56" s="62">
        <f ca="1">IFERROR(__xludf.DUMMYFUNCTION("""COMPUTED_VALUE"""),10010230)</f>
        <v>10010230</v>
      </c>
      <c r="B56" s="62" t="str">
        <f ca="1">IFERROR(__xludf.DUMMYFUNCTION("""COMPUTED_VALUE"""),"Pantalla Samsung Note 9 con Marco Original")</f>
        <v>Pantalla Samsung Note 9 con Marco Original</v>
      </c>
      <c r="C56" s="75">
        <f ca="1">IFERROR(__xludf.DUMMYFUNCTION("""COMPUTED_VALUE"""),710)</f>
        <v>710</v>
      </c>
      <c r="D56" s="75">
        <f ca="1">IFERROR(__xludf.DUMMYFUNCTION("""COMPUTED_VALUE"""),50)</f>
        <v>50</v>
      </c>
      <c r="E56" s="76">
        <f ca="1">IFERROR(__xludf.DUMMYFUNCTION("""COMPUTED_VALUE"""),760)</f>
        <v>760</v>
      </c>
      <c r="F56" s="77">
        <f ca="1">IFERROR(__xludf.DUMMYFUNCTION("""COMPUTED_VALUE"""),10010230)</f>
        <v>10010230</v>
      </c>
      <c r="G56" s="77" t="str">
        <f t="shared" ca="1" si="0"/>
        <v>si</v>
      </c>
    </row>
    <row r="57" spans="1:7" ht="12.75" x14ac:dyDescent="0.2">
      <c r="A57" s="62">
        <f ca="1">IFERROR(__xludf.DUMMYFUNCTION("""COMPUTED_VALUE"""),10010223)</f>
        <v>10010223</v>
      </c>
      <c r="B57" s="62" t="str">
        <f ca="1">IFERROR(__xludf.DUMMYFUNCTION("""COMPUTED_VALUE"""),"Pantalla Samsung Note 10 con Marco Original")</f>
        <v>Pantalla Samsung Note 10 con Marco Original</v>
      </c>
      <c r="C57" s="75">
        <f ca="1">IFERROR(__xludf.DUMMYFUNCTION("""COMPUTED_VALUE"""),790)</f>
        <v>790</v>
      </c>
      <c r="D57" s="75">
        <f ca="1">IFERROR(__xludf.DUMMYFUNCTION("""COMPUTED_VALUE"""),50)</f>
        <v>50</v>
      </c>
      <c r="E57" s="76">
        <f ca="1">IFERROR(__xludf.DUMMYFUNCTION("""COMPUTED_VALUE"""),840)</f>
        <v>840</v>
      </c>
      <c r="F57" s="77">
        <f ca="1">IFERROR(__xludf.DUMMYFUNCTION("""COMPUTED_VALUE"""),10010223)</f>
        <v>10010223</v>
      </c>
      <c r="G57" s="77" t="str">
        <f t="shared" ca="1" si="0"/>
        <v>si</v>
      </c>
    </row>
    <row r="58" spans="1:7" ht="12.75" x14ac:dyDescent="0.2">
      <c r="A58" s="62">
        <f ca="1">IFERROR(__xludf.DUMMYFUNCTION("""COMPUTED_VALUE"""),10010409)</f>
        <v>10010409</v>
      </c>
      <c r="B58" s="62" t="str">
        <f ca="1">IFERROR(__xludf.DUMMYFUNCTION("""COMPUTED_VALUE"""),"Pantalla Samsung Note 10 Lite Original")</f>
        <v>Pantalla Samsung Note 10 Lite Original</v>
      </c>
      <c r="C58" s="75">
        <f ca="1">IFERROR(__xludf.DUMMYFUNCTION("""COMPUTED_VALUE"""),640)</f>
        <v>640</v>
      </c>
      <c r="D58" s="75">
        <f ca="1">IFERROR(__xludf.DUMMYFUNCTION("""COMPUTED_VALUE"""),50)</f>
        <v>50</v>
      </c>
      <c r="E58" s="76">
        <f ca="1">IFERROR(__xludf.DUMMYFUNCTION("""COMPUTED_VALUE"""),690)</f>
        <v>690</v>
      </c>
      <c r="F58" s="77">
        <f ca="1">IFERROR(__xludf.DUMMYFUNCTION("""COMPUTED_VALUE"""),10010409)</f>
        <v>10010409</v>
      </c>
      <c r="G58" s="77" t="str">
        <f t="shared" ca="1" si="0"/>
        <v>si</v>
      </c>
    </row>
    <row r="59" spans="1:7" ht="12.75" x14ac:dyDescent="0.2">
      <c r="A59" s="62">
        <f ca="1">IFERROR(__xludf.DUMMYFUNCTION("""COMPUTED_VALUE"""),10010224)</f>
        <v>10010224</v>
      </c>
      <c r="B59" s="62" t="str">
        <f ca="1">IFERROR(__xludf.DUMMYFUNCTION("""COMPUTED_VALUE"""),"Pantalla Samsung Note 10 Plus con marco Original")</f>
        <v>Pantalla Samsung Note 10 Plus con marco Original</v>
      </c>
      <c r="C59" s="75">
        <f ca="1">IFERROR(__xludf.DUMMYFUNCTION("""COMPUTED_VALUE"""),990)</f>
        <v>990</v>
      </c>
      <c r="D59" s="75">
        <f ca="1">IFERROR(__xludf.DUMMYFUNCTION("""COMPUTED_VALUE"""),100)</f>
        <v>100</v>
      </c>
      <c r="E59" s="76">
        <f ca="1">IFERROR(__xludf.DUMMYFUNCTION("""COMPUTED_VALUE"""),1090)</f>
        <v>1090</v>
      </c>
      <c r="F59" s="77">
        <f ca="1">IFERROR(__xludf.DUMMYFUNCTION("""COMPUTED_VALUE"""),10010224)</f>
        <v>10010224</v>
      </c>
      <c r="G59" s="77" t="str">
        <f t="shared" ca="1" si="0"/>
        <v>si</v>
      </c>
    </row>
    <row r="60" spans="1:7" ht="12.75" x14ac:dyDescent="0.2">
      <c r="A60" s="62">
        <f ca="1">IFERROR(__xludf.DUMMYFUNCTION("""COMPUTED_VALUE"""),10010225)</f>
        <v>10010225</v>
      </c>
      <c r="B60" s="62" t="str">
        <f ca="1">IFERROR(__xludf.DUMMYFUNCTION("""COMPUTED_VALUE"""),"Pantalla Samsung Note 20 con marco Original")</f>
        <v>Pantalla Samsung Note 20 con marco Original</v>
      </c>
      <c r="C60" s="75">
        <f ca="1">IFERROR(__xludf.DUMMYFUNCTION("""COMPUTED_VALUE"""),690)</f>
        <v>690</v>
      </c>
      <c r="D60" s="75">
        <f ca="1">IFERROR(__xludf.DUMMYFUNCTION("""COMPUTED_VALUE"""),100)</f>
        <v>100</v>
      </c>
      <c r="E60" s="76">
        <f ca="1">IFERROR(__xludf.DUMMYFUNCTION("""COMPUTED_VALUE"""),790)</f>
        <v>790</v>
      </c>
      <c r="F60" s="77">
        <f ca="1">IFERROR(__xludf.DUMMYFUNCTION("""COMPUTED_VALUE"""),10010225)</f>
        <v>10010225</v>
      </c>
      <c r="G60" s="77" t="str">
        <f t="shared" ca="1" si="0"/>
        <v>si</v>
      </c>
    </row>
    <row r="61" spans="1:7" ht="12.75" x14ac:dyDescent="0.2">
      <c r="A61" s="62">
        <f ca="1">IFERROR(__xludf.DUMMYFUNCTION("""COMPUTED_VALUE"""),10010226)</f>
        <v>10010226</v>
      </c>
      <c r="B61" s="62" t="str">
        <f ca="1">IFERROR(__xludf.DUMMYFUNCTION("""COMPUTED_VALUE"""),"Pantalla Samsung Note 20 Plus / Ultra con marco Original")</f>
        <v>Pantalla Samsung Note 20 Plus / Ultra con marco Original</v>
      </c>
      <c r="C61" s="75">
        <f ca="1">IFERROR(__xludf.DUMMYFUNCTION("""COMPUTED_VALUE"""),1190)</f>
        <v>1190</v>
      </c>
      <c r="D61" s="75">
        <f ca="1">IFERROR(__xludf.DUMMYFUNCTION("""COMPUTED_VALUE"""),100)</f>
        <v>100</v>
      </c>
      <c r="E61" s="76">
        <f ca="1">IFERROR(__xludf.DUMMYFUNCTION("""COMPUTED_VALUE"""),1290)</f>
        <v>1290</v>
      </c>
      <c r="F61" s="77">
        <f ca="1">IFERROR(__xludf.DUMMYFUNCTION("""COMPUTED_VALUE"""),10010226)</f>
        <v>10010226</v>
      </c>
      <c r="G61" s="77" t="str">
        <f t="shared" ca="1" si="0"/>
        <v>si</v>
      </c>
    </row>
    <row r="62" spans="1:7" ht="12.75" x14ac:dyDescent="0.2">
      <c r="A62" s="62">
        <f ca="1">IFERROR(__xludf.DUMMYFUNCTION("""COMPUTED_VALUE"""),10160048)</f>
        <v>10160048</v>
      </c>
      <c r="B62" s="62" t="str">
        <f ca="1">IFERROR(__xludf.DUMMYFUNCTION("""COMPUTED_VALUE"""),"Pantalla Samsung Z Flip 2020")</f>
        <v>Pantalla Samsung Z Flip 2020</v>
      </c>
      <c r="C62" s="75">
        <f ca="1">IFERROR(__xludf.DUMMYFUNCTION("""COMPUTED_VALUE"""),2090)</f>
        <v>2090</v>
      </c>
      <c r="D62" s="75">
        <f ca="1">IFERROR(__xludf.DUMMYFUNCTION("""COMPUTED_VALUE"""),100)</f>
        <v>100</v>
      </c>
      <c r="E62" s="76">
        <f ca="1">IFERROR(__xludf.DUMMYFUNCTION("""COMPUTED_VALUE"""),2190)</f>
        <v>2190</v>
      </c>
      <c r="F62" s="77">
        <f ca="1">IFERROR(__xludf.DUMMYFUNCTION("""COMPUTED_VALUE"""),10160048)</f>
        <v>10160048</v>
      </c>
      <c r="G62" s="77" t="str">
        <f t="shared" ca="1" si="0"/>
        <v>si</v>
      </c>
    </row>
    <row r="63" spans="1:7" ht="12.75" x14ac:dyDescent="0.2">
      <c r="A63" s="62">
        <f ca="1">IFERROR(__xludf.DUMMYFUNCTION("""COMPUTED_VALUE"""),10010202)</f>
        <v>10010202</v>
      </c>
      <c r="B63" s="62" t="str">
        <f ca="1">IFERROR(__xludf.DUMMYFUNCTION("""COMPUTED_VALUE"""),"Pantalla Samsung J2 TFT")</f>
        <v>Pantalla Samsung J2 TFT</v>
      </c>
      <c r="C63" s="75">
        <f ca="1">IFERROR(__xludf.DUMMYFUNCTION("""COMPUTED_VALUE"""),40)</f>
        <v>40</v>
      </c>
      <c r="D63" s="75">
        <f ca="1">IFERROR(__xludf.DUMMYFUNCTION("""COMPUTED_VALUE"""),50)</f>
        <v>50</v>
      </c>
      <c r="E63" s="76">
        <f ca="1">IFERROR(__xludf.DUMMYFUNCTION("""COMPUTED_VALUE"""),90)</f>
        <v>90</v>
      </c>
      <c r="F63" s="77">
        <f ca="1">IFERROR(__xludf.DUMMYFUNCTION("""COMPUTED_VALUE"""),10010202)</f>
        <v>10010202</v>
      </c>
      <c r="G63" s="77" t="str">
        <f t="shared" ca="1" si="0"/>
        <v>si</v>
      </c>
    </row>
    <row r="64" spans="1:7" ht="12.75" x14ac:dyDescent="0.2">
      <c r="A64" s="62">
        <f ca="1">IFERROR(__xludf.DUMMYFUNCTION("""COMPUTED_VALUE"""),10010200)</f>
        <v>10010200</v>
      </c>
      <c r="B64" s="62" t="str">
        <f ca="1">IFERROR(__xludf.DUMMYFUNCTION("""COMPUTED_VALUE"""),"Pantalla Samsung J2 Prime Origen")</f>
        <v>Pantalla Samsung J2 Prime Origen</v>
      </c>
      <c r="C64" s="75">
        <f ca="1">IFERROR(__xludf.DUMMYFUNCTION("""COMPUTED_VALUE"""),40)</f>
        <v>40</v>
      </c>
      <c r="D64" s="75">
        <f ca="1">IFERROR(__xludf.DUMMYFUNCTION("""COMPUTED_VALUE"""),50)</f>
        <v>50</v>
      </c>
      <c r="E64" s="76">
        <f ca="1">IFERROR(__xludf.DUMMYFUNCTION("""COMPUTED_VALUE"""),90)</f>
        <v>90</v>
      </c>
      <c r="F64" s="77">
        <f ca="1">IFERROR(__xludf.DUMMYFUNCTION("""COMPUTED_VALUE"""),10010200)</f>
        <v>10010200</v>
      </c>
      <c r="G64" s="77" t="str">
        <f t="shared" ca="1" si="0"/>
        <v>si</v>
      </c>
    </row>
    <row r="65" spans="1:7" ht="12.75" x14ac:dyDescent="0.2">
      <c r="A65" s="62">
        <f ca="1">IFERROR(__xludf.DUMMYFUNCTION("""COMPUTED_VALUE"""),10010201)</f>
        <v>10010201</v>
      </c>
      <c r="B65" s="62" t="str">
        <f ca="1">IFERROR(__xludf.DUMMYFUNCTION("""COMPUTED_VALUE"""),"Pantalla Samsung J2 Pro TFT")</f>
        <v>Pantalla Samsung J2 Pro TFT</v>
      </c>
      <c r="C65" s="75">
        <f ca="1">IFERROR(__xludf.DUMMYFUNCTION("""COMPUTED_VALUE"""),40)</f>
        <v>40</v>
      </c>
      <c r="D65" s="75">
        <f ca="1">IFERROR(__xludf.DUMMYFUNCTION("""COMPUTED_VALUE"""),50)</f>
        <v>50</v>
      </c>
      <c r="E65" s="76">
        <f ca="1">IFERROR(__xludf.DUMMYFUNCTION("""COMPUTED_VALUE"""),90)</f>
        <v>90</v>
      </c>
      <c r="F65" s="77">
        <f ca="1">IFERROR(__xludf.DUMMYFUNCTION("""COMPUTED_VALUE"""),10010201)</f>
        <v>10010201</v>
      </c>
      <c r="G65" s="77" t="str">
        <f t="shared" ca="1" si="0"/>
        <v>si</v>
      </c>
    </row>
    <row r="66" spans="1:7" ht="12.75" x14ac:dyDescent="0.2">
      <c r="A66" s="62">
        <f ca="1">IFERROR(__xludf.DUMMYFUNCTION("""COMPUTED_VALUE"""),10010205)</f>
        <v>10010205</v>
      </c>
      <c r="B66" s="62" t="str">
        <f ca="1">IFERROR(__xludf.DUMMYFUNCTION("""COMPUTED_VALUE"""),"Pantalla Samsung J4 / J4 2018 TFT")</f>
        <v>Pantalla Samsung J4 / J4 2018 TFT</v>
      </c>
      <c r="C66" s="75">
        <f ca="1">IFERROR(__xludf.DUMMYFUNCTION("""COMPUTED_VALUE"""),40)</f>
        <v>40</v>
      </c>
      <c r="D66" s="75">
        <f ca="1">IFERROR(__xludf.DUMMYFUNCTION("""COMPUTED_VALUE"""),50)</f>
        <v>50</v>
      </c>
      <c r="E66" s="76">
        <f ca="1">IFERROR(__xludf.DUMMYFUNCTION("""COMPUTED_VALUE"""),90)</f>
        <v>90</v>
      </c>
      <c r="F66" s="77">
        <f ca="1">IFERROR(__xludf.DUMMYFUNCTION("""COMPUTED_VALUE"""),10010205)</f>
        <v>10010205</v>
      </c>
      <c r="G66" s="77" t="str">
        <f t="shared" ca="1" si="0"/>
        <v>si</v>
      </c>
    </row>
    <row r="67" spans="1:7" ht="12.75" x14ac:dyDescent="0.2">
      <c r="A67" s="62">
        <f ca="1">IFERROR(__xludf.DUMMYFUNCTION("""COMPUTED_VALUE"""),10010204)</f>
        <v>10010204</v>
      </c>
      <c r="B67" s="62" t="str">
        <f ca="1">IFERROR(__xludf.DUMMYFUNCTION("""COMPUTED_VALUE"""),"Pantalla Samsung J4 / J4 2018 OLED")</f>
        <v>Pantalla Samsung J4 / J4 2018 OLED</v>
      </c>
      <c r="C67" s="75">
        <f ca="1">IFERROR(__xludf.DUMMYFUNCTION("""COMPUTED_VALUE"""),140)</f>
        <v>140</v>
      </c>
      <c r="D67" s="75">
        <f ca="1">IFERROR(__xludf.DUMMYFUNCTION("""COMPUTED_VALUE"""),50)</f>
        <v>50</v>
      </c>
      <c r="E67" s="76">
        <f ca="1">IFERROR(__xludf.DUMMYFUNCTION("""COMPUTED_VALUE"""),190)</f>
        <v>190</v>
      </c>
      <c r="F67" s="77">
        <f ca="1">IFERROR(__xludf.DUMMYFUNCTION("""COMPUTED_VALUE"""),10010204)</f>
        <v>10010204</v>
      </c>
      <c r="G67" s="77" t="str">
        <f t="shared" ca="1" si="0"/>
        <v>si</v>
      </c>
    </row>
    <row r="68" spans="1:7" ht="12.75" x14ac:dyDescent="0.2">
      <c r="A68" s="62">
        <f ca="1">IFERROR(__xludf.DUMMYFUNCTION("""COMPUTED_VALUE"""),10010206)</f>
        <v>10010206</v>
      </c>
      <c r="B68" s="62" t="str">
        <f ca="1">IFERROR(__xludf.DUMMYFUNCTION("""COMPUTED_VALUE"""),"Pantalla Samsung J4 Plus - J4 Core - J6 Plus  Original")</f>
        <v>Pantalla Samsung J4 Plus - J4 Core - J6 Plus  Original</v>
      </c>
      <c r="C68" s="75">
        <f ca="1">IFERROR(__xludf.DUMMYFUNCTION("""COMPUTED_VALUE"""),90)</f>
        <v>90</v>
      </c>
      <c r="D68" s="75">
        <f ca="1">IFERROR(__xludf.DUMMYFUNCTION("""COMPUTED_VALUE"""),50)</f>
        <v>50</v>
      </c>
      <c r="E68" s="76">
        <f ca="1">IFERROR(__xludf.DUMMYFUNCTION("""COMPUTED_VALUE"""),140)</f>
        <v>140</v>
      </c>
      <c r="F68" s="77">
        <f ca="1">IFERROR(__xludf.DUMMYFUNCTION("""COMPUTED_VALUE"""),10010206)</f>
        <v>10010206</v>
      </c>
      <c r="G68" s="77" t="str">
        <f t="shared" ca="1" si="0"/>
        <v>si</v>
      </c>
    </row>
    <row r="69" spans="1:7" ht="12.75" x14ac:dyDescent="0.2">
      <c r="A69" s="62">
        <f ca="1">IFERROR(__xludf.DUMMYFUNCTION("""COMPUTED_VALUE"""),10010210)</f>
        <v>10010210</v>
      </c>
      <c r="B69" s="62" t="str">
        <f ca="1">IFERROR(__xludf.DUMMYFUNCTION("""COMPUTED_VALUE"""),"Pantalla Samsung J5 AAA")</f>
        <v>Pantalla Samsung J5 AAA</v>
      </c>
      <c r="C69" s="75">
        <f ca="1">IFERROR(__xludf.DUMMYFUNCTION("""COMPUTED_VALUE"""),40)</f>
        <v>40</v>
      </c>
      <c r="D69" s="75">
        <f ca="1">IFERROR(__xludf.DUMMYFUNCTION("""COMPUTED_VALUE"""),50)</f>
        <v>50</v>
      </c>
      <c r="E69" s="76">
        <f ca="1">IFERROR(__xludf.DUMMYFUNCTION("""COMPUTED_VALUE"""),90)</f>
        <v>90</v>
      </c>
      <c r="F69" s="77">
        <f ca="1">IFERROR(__xludf.DUMMYFUNCTION("""COMPUTED_VALUE"""),10010210)</f>
        <v>10010210</v>
      </c>
      <c r="G69" s="77" t="str">
        <f t="shared" ca="1" si="0"/>
        <v>si</v>
      </c>
    </row>
    <row r="70" spans="1:7" ht="12.75" x14ac:dyDescent="0.2">
      <c r="A70" s="62">
        <f ca="1">IFERROR(__xludf.DUMMYFUNCTION("""COMPUTED_VALUE"""),10010211)</f>
        <v>10010211</v>
      </c>
      <c r="B70" s="62" t="str">
        <f ca="1">IFERROR(__xludf.DUMMYFUNCTION("""COMPUTED_VALUE"""),"Pantalla Samsung J5 Prime Original")</f>
        <v>Pantalla Samsung J5 Prime Original</v>
      </c>
      <c r="C70" s="75">
        <f ca="1">IFERROR(__xludf.DUMMYFUNCTION("""COMPUTED_VALUE"""),90)</f>
        <v>90</v>
      </c>
      <c r="D70" s="75">
        <f ca="1">IFERROR(__xludf.DUMMYFUNCTION("""COMPUTED_VALUE"""),50)</f>
        <v>50</v>
      </c>
      <c r="E70" s="76">
        <f ca="1">IFERROR(__xludf.DUMMYFUNCTION("""COMPUTED_VALUE"""),140)</f>
        <v>140</v>
      </c>
      <c r="F70" s="77">
        <f ca="1">IFERROR(__xludf.DUMMYFUNCTION("""COMPUTED_VALUE"""),10010211)</f>
        <v>10010211</v>
      </c>
      <c r="G70" s="77" t="str">
        <f t="shared" ca="1" si="0"/>
        <v>si</v>
      </c>
    </row>
    <row r="71" spans="1:7" ht="12.75" x14ac:dyDescent="0.2">
      <c r="A71" s="62">
        <f ca="1">IFERROR(__xludf.DUMMYFUNCTION("""COMPUTED_VALUE"""),10010207)</f>
        <v>10010207</v>
      </c>
      <c r="B71" s="62" t="str">
        <f ca="1">IFERROR(__xludf.DUMMYFUNCTION("""COMPUTED_VALUE"""),"Pantalla Samsung J5 2016 AAA")</f>
        <v>Pantalla Samsung J5 2016 AAA</v>
      </c>
      <c r="C71" s="75">
        <f ca="1">IFERROR(__xludf.DUMMYFUNCTION("""COMPUTED_VALUE"""),40)</f>
        <v>40</v>
      </c>
      <c r="D71" s="75">
        <f ca="1">IFERROR(__xludf.DUMMYFUNCTION("""COMPUTED_VALUE"""),50)</f>
        <v>50</v>
      </c>
      <c r="E71" s="76">
        <f ca="1">IFERROR(__xludf.DUMMYFUNCTION("""COMPUTED_VALUE"""),90)</f>
        <v>90</v>
      </c>
      <c r="F71" s="77">
        <f ca="1">IFERROR(__xludf.DUMMYFUNCTION("""COMPUTED_VALUE"""),10010207)</f>
        <v>10010207</v>
      </c>
      <c r="G71" s="77" t="str">
        <f t="shared" ca="1" si="0"/>
        <v>si</v>
      </c>
    </row>
    <row r="72" spans="1:7" ht="12.75" x14ac:dyDescent="0.2">
      <c r="A72" s="62">
        <f ca="1">IFERROR(__xludf.DUMMYFUNCTION("""COMPUTED_VALUE"""),10010208)</f>
        <v>10010208</v>
      </c>
      <c r="B72" s="62" t="str">
        <f ca="1">IFERROR(__xludf.DUMMYFUNCTION("""COMPUTED_VALUE"""),"Pantalla Samsung J5 2017 / J5 Pro  AAA ")</f>
        <v xml:space="preserve">Pantalla Samsung J5 2017 / J5 Pro  AAA </v>
      </c>
      <c r="C72" s="75">
        <f ca="1">IFERROR(__xludf.DUMMYFUNCTION("""COMPUTED_VALUE"""),90)</f>
        <v>90</v>
      </c>
      <c r="D72" s="75">
        <f ca="1">IFERROR(__xludf.DUMMYFUNCTION("""COMPUTED_VALUE"""),50)</f>
        <v>50</v>
      </c>
      <c r="E72" s="76">
        <f ca="1">IFERROR(__xludf.DUMMYFUNCTION("""COMPUTED_VALUE"""),140)</f>
        <v>140</v>
      </c>
      <c r="F72" s="77">
        <f ca="1">IFERROR(__xludf.DUMMYFUNCTION("""COMPUTED_VALUE"""),10010208)</f>
        <v>10010208</v>
      </c>
      <c r="G72" s="77" t="str">
        <f t="shared" ca="1" si="0"/>
        <v>si</v>
      </c>
    </row>
    <row r="73" spans="1:7" ht="12.75" x14ac:dyDescent="0.2">
      <c r="A73" s="62">
        <f ca="1">IFERROR(__xludf.DUMMYFUNCTION("""COMPUTED_VALUE"""),10010209)</f>
        <v>10010209</v>
      </c>
      <c r="B73" s="62" t="str">
        <f ca="1">IFERROR(__xludf.DUMMYFUNCTION("""COMPUTED_VALUE"""),"Pantalla Samsung J5 2017 / J5 Pro  OLED")</f>
        <v>Pantalla Samsung J5 2017 / J5 Pro  OLED</v>
      </c>
      <c r="C73" s="75">
        <f ca="1">IFERROR(__xludf.DUMMYFUNCTION("""COMPUTED_VALUE"""),90)</f>
        <v>90</v>
      </c>
      <c r="D73" s="75">
        <f ca="1">IFERROR(__xludf.DUMMYFUNCTION("""COMPUTED_VALUE"""),50)</f>
        <v>50</v>
      </c>
      <c r="E73" s="76">
        <f ca="1">IFERROR(__xludf.DUMMYFUNCTION("""COMPUTED_VALUE"""),140)</f>
        <v>140</v>
      </c>
      <c r="F73" s="77">
        <f ca="1">IFERROR(__xludf.DUMMYFUNCTION("""COMPUTED_VALUE"""),10010209)</f>
        <v>10010209</v>
      </c>
      <c r="G73" s="77" t="str">
        <f t="shared" ca="1" si="0"/>
        <v>si</v>
      </c>
    </row>
    <row r="74" spans="1:7" ht="12.75" x14ac:dyDescent="0.2">
      <c r="A74" s="62">
        <f ca="1">IFERROR(__xludf.DUMMYFUNCTION("""COMPUTED_VALUE"""),10010212)</f>
        <v>10010212</v>
      </c>
      <c r="B74" s="62" t="str">
        <f ca="1">IFERROR(__xludf.DUMMYFUNCTION("""COMPUTED_VALUE"""),"Pantalla Samsung J6 - J6 2018 TFT")</f>
        <v>Pantalla Samsung J6 - J6 2018 TFT</v>
      </c>
      <c r="C74" s="75">
        <f ca="1">IFERROR(__xludf.DUMMYFUNCTION("""COMPUTED_VALUE"""),40)</f>
        <v>40</v>
      </c>
      <c r="D74" s="75">
        <f ca="1">IFERROR(__xludf.DUMMYFUNCTION("""COMPUTED_VALUE"""),50)</f>
        <v>50</v>
      </c>
      <c r="E74" s="76">
        <f ca="1">IFERROR(__xludf.DUMMYFUNCTION("""COMPUTED_VALUE"""),90)</f>
        <v>90</v>
      </c>
      <c r="F74" s="77">
        <f ca="1">IFERROR(__xludf.DUMMYFUNCTION("""COMPUTED_VALUE"""),10010212)</f>
        <v>10010212</v>
      </c>
      <c r="G74" s="77" t="str">
        <f t="shared" ca="1" si="0"/>
        <v>si</v>
      </c>
    </row>
    <row r="75" spans="1:7" ht="12.75" x14ac:dyDescent="0.2">
      <c r="A75" s="62">
        <f ca="1">IFERROR(__xludf.DUMMYFUNCTION("""COMPUTED_VALUE"""),10010376)</f>
        <v>10010376</v>
      </c>
      <c r="B75" s="62" t="str">
        <f ca="1">IFERROR(__xludf.DUMMYFUNCTION("""COMPUTED_VALUE"""),"Pantalla Samsung J6 - J6 2018 OLED")</f>
        <v>Pantalla Samsung J6 - J6 2018 OLED</v>
      </c>
      <c r="C75" s="75">
        <f ca="1">IFERROR(__xludf.DUMMYFUNCTION("""COMPUTED_VALUE"""),90)</f>
        <v>90</v>
      </c>
      <c r="D75" s="75">
        <f ca="1">IFERROR(__xludf.DUMMYFUNCTION("""COMPUTED_VALUE"""),50)</f>
        <v>50</v>
      </c>
      <c r="E75" s="76">
        <f ca="1">IFERROR(__xludf.DUMMYFUNCTION("""COMPUTED_VALUE"""),140)</f>
        <v>140</v>
      </c>
      <c r="F75" s="77">
        <f ca="1">IFERROR(__xludf.DUMMYFUNCTION("""COMPUTED_VALUE"""),10010376)</f>
        <v>10010376</v>
      </c>
      <c r="G75" s="77" t="str">
        <f t="shared" ca="1" si="0"/>
        <v>si</v>
      </c>
    </row>
    <row r="76" spans="1:7" ht="12.75" x14ac:dyDescent="0.2">
      <c r="A76" s="62">
        <f ca="1">IFERROR(__xludf.DUMMYFUNCTION("""COMPUTED_VALUE"""),10010213)</f>
        <v>10010213</v>
      </c>
      <c r="B76" s="62" t="str">
        <f ca="1">IFERROR(__xludf.DUMMYFUNCTION("""COMPUTED_VALUE"""),"Pantalla Samsung J7 2015 AAA")</f>
        <v>Pantalla Samsung J7 2015 AAA</v>
      </c>
      <c r="C76" s="75">
        <f ca="1">IFERROR(__xludf.DUMMYFUNCTION("""COMPUTED_VALUE"""),40)</f>
        <v>40</v>
      </c>
      <c r="D76" s="75">
        <f ca="1">IFERROR(__xludf.DUMMYFUNCTION("""COMPUTED_VALUE"""),50)</f>
        <v>50</v>
      </c>
      <c r="E76" s="76">
        <f ca="1">IFERROR(__xludf.DUMMYFUNCTION("""COMPUTED_VALUE"""),90)</f>
        <v>90</v>
      </c>
      <c r="F76" s="77">
        <f ca="1">IFERROR(__xludf.DUMMYFUNCTION("""COMPUTED_VALUE"""),10010213)</f>
        <v>10010213</v>
      </c>
      <c r="G76" s="77" t="str">
        <f t="shared" ca="1" si="0"/>
        <v>si</v>
      </c>
    </row>
    <row r="77" spans="1:7" ht="12.75" x14ac:dyDescent="0.2">
      <c r="A77" s="62">
        <f ca="1">IFERROR(__xludf.DUMMYFUNCTION("""COMPUTED_VALUE"""),10010214)</f>
        <v>10010214</v>
      </c>
      <c r="B77" s="62" t="str">
        <f ca="1">IFERROR(__xludf.DUMMYFUNCTION("""COMPUTED_VALUE"""),"Pantalla Samsung J7 2016 AAA")</f>
        <v>Pantalla Samsung J7 2016 AAA</v>
      </c>
      <c r="C77" s="75">
        <f ca="1">IFERROR(__xludf.DUMMYFUNCTION("""COMPUTED_VALUE"""),40)</f>
        <v>40</v>
      </c>
      <c r="D77" s="75">
        <f ca="1">IFERROR(__xludf.DUMMYFUNCTION("""COMPUTED_VALUE"""),50)</f>
        <v>50</v>
      </c>
      <c r="E77" s="76">
        <f ca="1">IFERROR(__xludf.DUMMYFUNCTION("""COMPUTED_VALUE"""),90)</f>
        <v>90</v>
      </c>
      <c r="F77" s="77">
        <f ca="1">IFERROR(__xludf.DUMMYFUNCTION("""COMPUTED_VALUE"""),10010214)</f>
        <v>10010214</v>
      </c>
      <c r="G77" s="77" t="str">
        <f t="shared" ca="1" si="0"/>
        <v>si</v>
      </c>
    </row>
    <row r="78" spans="1:7" ht="12.75" x14ac:dyDescent="0.2">
      <c r="A78" s="62">
        <f ca="1">IFERROR(__xludf.DUMMYFUNCTION("""COMPUTED_VALUE"""),10010217)</f>
        <v>10010217</v>
      </c>
      <c r="B78" s="62" t="str">
        <f ca="1">IFERROR(__xludf.DUMMYFUNCTION("""COMPUTED_VALUE"""),"Pantalla Samsung J7 Prime Original")</f>
        <v>Pantalla Samsung J7 Prime Original</v>
      </c>
      <c r="C78" s="75">
        <f ca="1">IFERROR(__xludf.DUMMYFUNCTION("""COMPUTED_VALUE"""),90)</f>
        <v>90</v>
      </c>
      <c r="D78" s="75">
        <f ca="1">IFERROR(__xludf.DUMMYFUNCTION("""COMPUTED_VALUE"""),50)</f>
        <v>50</v>
      </c>
      <c r="E78" s="76">
        <f ca="1">IFERROR(__xludf.DUMMYFUNCTION("""COMPUTED_VALUE"""),140)</f>
        <v>140</v>
      </c>
      <c r="F78" s="77">
        <f ca="1">IFERROR(__xludf.DUMMYFUNCTION("""COMPUTED_VALUE"""),10010217)</f>
        <v>10010217</v>
      </c>
      <c r="G78" s="77" t="str">
        <f t="shared" ca="1" si="0"/>
        <v>si</v>
      </c>
    </row>
    <row r="79" spans="1:7" ht="12.75" x14ac:dyDescent="0.2">
      <c r="A79" s="62">
        <f ca="1">IFERROR(__xludf.DUMMYFUNCTION("""COMPUTED_VALUE"""),10010218)</f>
        <v>10010218</v>
      </c>
      <c r="B79" s="62" t="str">
        <f ca="1">IFERROR(__xludf.DUMMYFUNCTION("""COMPUTED_VALUE"""),"Pantalla Samsung J7 Pro AAA")</f>
        <v>Pantalla Samsung J7 Pro AAA</v>
      </c>
      <c r="C79" s="75">
        <f ca="1">IFERROR(__xludf.DUMMYFUNCTION("""COMPUTED_VALUE"""),40)</f>
        <v>40</v>
      </c>
      <c r="D79" s="75">
        <f ca="1">IFERROR(__xludf.DUMMYFUNCTION("""COMPUTED_VALUE"""),50)</f>
        <v>50</v>
      </c>
      <c r="E79" s="76">
        <f ca="1">IFERROR(__xludf.DUMMYFUNCTION("""COMPUTED_VALUE"""),90)</f>
        <v>90</v>
      </c>
      <c r="F79" s="77">
        <f ca="1">IFERROR(__xludf.DUMMYFUNCTION("""COMPUTED_VALUE"""),10010218)</f>
        <v>10010218</v>
      </c>
      <c r="G79" s="77" t="str">
        <f t="shared" ca="1" si="0"/>
        <v>si</v>
      </c>
    </row>
    <row r="80" spans="1:7" ht="12.75" x14ac:dyDescent="0.2">
      <c r="A80" s="62">
        <f ca="1">IFERROR(__xludf.DUMMYFUNCTION("""COMPUTED_VALUE"""),10010219)</f>
        <v>10010219</v>
      </c>
      <c r="B80" s="62" t="str">
        <f ca="1">IFERROR(__xludf.DUMMYFUNCTION("""COMPUTED_VALUE"""),"Pantalla Samsung J7 Pro OLED")</f>
        <v>Pantalla Samsung J7 Pro OLED</v>
      </c>
      <c r="C80" s="75">
        <f ca="1">IFERROR(__xludf.DUMMYFUNCTION("""COMPUTED_VALUE"""),90)</f>
        <v>90</v>
      </c>
      <c r="D80" s="75">
        <f ca="1">IFERROR(__xludf.DUMMYFUNCTION("""COMPUTED_VALUE"""),50)</f>
        <v>50</v>
      </c>
      <c r="E80" s="76">
        <f ca="1">IFERROR(__xludf.DUMMYFUNCTION("""COMPUTED_VALUE"""),140)</f>
        <v>140</v>
      </c>
      <c r="F80" s="77">
        <f ca="1">IFERROR(__xludf.DUMMYFUNCTION("""COMPUTED_VALUE"""),10010219)</f>
        <v>10010219</v>
      </c>
      <c r="G80" s="77" t="str">
        <f t="shared" ca="1" si="0"/>
        <v>si</v>
      </c>
    </row>
    <row r="81" spans="1:7" ht="12.75" x14ac:dyDescent="0.2">
      <c r="A81" s="62">
        <f ca="1">IFERROR(__xludf.DUMMYFUNCTION("""COMPUTED_VALUE"""),10010215)</f>
        <v>10010215</v>
      </c>
      <c r="B81" s="62" t="str">
        <f ca="1">IFERROR(__xludf.DUMMYFUNCTION("""COMPUTED_VALUE"""),"Pantalla Samsung J7 Neo AAA")</f>
        <v>Pantalla Samsung J7 Neo AAA</v>
      </c>
      <c r="C81" s="75">
        <f ca="1">IFERROR(__xludf.DUMMYFUNCTION("""COMPUTED_VALUE"""),40)</f>
        <v>40</v>
      </c>
      <c r="D81" s="75">
        <f ca="1">IFERROR(__xludf.DUMMYFUNCTION("""COMPUTED_VALUE"""),50)</f>
        <v>50</v>
      </c>
      <c r="E81" s="76">
        <f ca="1">IFERROR(__xludf.DUMMYFUNCTION("""COMPUTED_VALUE"""),90)</f>
        <v>90</v>
      </c>
      <c r="F81" s="77">
        <f ca="1">IFERROR(__xludf.DUMMYFUNCTION("""COMPUTED_VALUE"""),10010215)</f>
        <v>10010215</v>
      </c>
      <c r="G81" s="77" t="str">
        <f t="shared" ca="1" si="0"/>
        <v>si</v>
      </c>
    </row>
    <row r="82" spans="1:7" ht="12.75" x14ac:dyDescent="0.2">
      <c r="A82" s="62">
        <f ca="1">IFERROR(__xludf.DUMMYFUNCTION("""COMPUTED_VALUE"""),10010216)</f>
        <v>10010216</v>
      </c>
      <c r="B82" s="62" t="str">
        <f ca="1">IFERROR(__xludf.DUMMYFUNCTION("""COMPUTED_VALUE"""),"Pantalla Samsung J7 Neo OLED")</f>
        <v>Pantalla Samsung J7 Neo OLED</v>
      </c>
      <c r="C82" s="75">
        <f ca="1">IFERROR(__xludf.DUMMYFUNCTION("""COMPUTED_VALUE"""),90)</f>
        <v>90</v>
      </c>
      <c r="D82" s="75">
        <f ca="1">IFERROR(__xludf.DUMMYFUNCTION("""COMPUTED_VALUE"""),50)</f>
        <v>50</v>
      </c>
      <c r="E82" s="76">
        <f ca="1">IFERROR(__xludf.DUMMYFUNCTION("""COMPUTED_VALUE"""),140)</f>
        <v>140</v>
      </c>
      <c r="F82" s="77">
        <f ca="1">IFERROR(__xludf.DUMMYFUNCTION("""COMPUTED_VALUE"""),10010216)</f>
        <v>10010216</v>
      </c>
      <c r="G82" s="77" t="str">
        <f t="shared" ca="1" si="0"/>
        <v>si</v>
      </c>
    </row>
    <row r="83" spans="1:7" ht="12.75" x14ac:dyDescent="0.2">
      <c r="A83" s="62">
        <f ca="1">IFERROR(__xludf.DUMMYFUNCTION("""COMPUTED_VALUE"""),10010220)</f>
        <v>10010220</v>
      </c>
      <c r="B83" s="62" t="str">
        <f ca="1">IFERROR(__xludf.DUMMYFUNCTION("""COMPUTED_VALUE"""),"Pantalla Samsung J8 2018 Amoled")</f>
        <v>Pantalla Samsung J8 2018 Amoled</v>
      </c>
      <c r="C83" s="75">
        <f ca="1">IFERROR(__xludf.DUMMYFUNCTION("""COMPUTED_VALUE"""),140)</f>
        <v>140</v>
      </c>
      <c r="D83" s="75">
        <f ca="1">IFERROR(__xludf.DUMMYFUNCTION("""COMPUTED_VALUE"""),50)</f>
        <v>50</v>
      </c>
      <c r="E83" s="76">
        <f ca="1">IFERROR(__xludf.DUMMYFUNCTION("""COMPUTED_VALUE"""),190)</f>
        <v>190</v>
      </c>
      <c r="F83" s="77">
        <f ca="1">IFERROR(__xludf.DUMMYFUNCTION("""COMPUTED_VALUE"""),10010220)</f>
        <v>10010220</v>
      </c>
      <c r="G83" s="77" t="str">
        <f t="shared" ca="1" si="0"/>
        <v>si</v>
      </c>
    </row>
    <row r="84" spans="1:7" ht="12.75" x14ac:dyDescent="0.2">
      <c r="A84" s="62">
        <f ca="1">IFERROR(__xludf.DUMMYFUNCTION("""COMPUTED_VALUE"""),10010221)</f>
        <v>10010221</v>
      </c>
      <c r="B84" s="62" t="str">
        <f ca="1">IFERROR(__xludf.DUMMYFUNCTION("""COMPUTED_VALUE"""),"Pantalla Samsung J8 2018 TFT")</f>
        <v>Pantalla Samsung J8 2018 TFT</v>
      </c>
      <c r="C84" s="75">
        <f ca="1">IFERROR(__xludf.DUMMYFUNCTION("""COMPUTED_VALUE"""),40)</f>
        <v>40</v>
      </c>
      <c r="D84" s="75">
        <f ca="1">IFERROR(__xludf.DUMMYFUNCTION("""COMPUTED_VALUE"""),50)</f>
        <v>50</v>
      </c>
      <c r="E84" s="76">
        <f ca="1">IFERROR(__xludf.DUMMYFUNCTION("""COMPUTED_VALUE"""),90)</f>
        <v>90</v>
      </c>
      <c r="F84" s="77">
        <f ca="1">IFERROR(__xludf.DUMMYFUNCTION("""COMPUTED_VALUE"""),10010221)</f>
        <v>10010221</v>
      </c>
      <c r="G84" s="77" t="str">
        <f t="shared" ca="1" si="0"/>
        <v>si</v>
      </c>
    </row>
    <row r="85" spans="1:7" ht="12.75" x14ac:dyDescent="0.2">
      <c r="A85" s="62">
        <f ca="1">IFERROR(__xludf.DUMMYFUNCTION("""COMPUTED_VALUE"""),10160184)</f>
        <v>10160184</v>
      </c>
      <c r="B85" s="62" t="str">
        <f ca="1">IFERROR(__xludf.DUMMYFUNCTION("""COMPUTED_VALUE"""),"Pantalla Samsung A01 Core")</f>
        <v>Pantalla Samsung A01 Core</v>
      </c>
      <c r="C85" s="75">
        <f ca="1">IFERROR(__xludf.DUMMYFUNCTION("""COMPUTED_VALUE"""),110)</f>
        <v>110</v>
      </c>
      <c r="D85" s="75">
        <f ca="1">IFERROR(__xludf.DUMMYFUNCTION("""COMPUTED_VALUE"""),50)</f>
        <v>50</v>
      </c>
      <c r="E85" s="76">
        <f ca="1">IFERROR(__xludf.DUMMYFUNCTION("""COMPUTED_VALUE"""),160)</f>
        <v>160</v>
      </c>
      <c r="F85" s="77">
        <f ca="1">IFERROR(__xludf.DUMMYFUNCTION("""COMPUTED_VALUE"""),10160184)</f>
        <v>10160184</v>
      </c>
      <c r="G85" s="77" t="str">
        <f t="shared" ca="1" si="0"/>
        <v>si</v>
      </c>
    </row>
    <row r="86" spans="1:7" ht="12.75" x14ac:dyDescent="0.2">
      <c r="A86" s="62">
        <f ca="1">IFERROR(__xludf.DUMMYFUNCTION("""COMPUTED_VALUE"""),10010484)</f>
        <v>10010484</v>
      </c>
      <c r="B86" s="62" t="str">
        <f ca="1">IFERROR(__xludf.DUMMYFUNCTION("""COMPUTED_VALUE"""),"Pantalla Samsung A03 Core")</f>
        <v>Pantalla Samsung A03 Core</v>
      </c>
      <c r="C86" s="75">
        <f ca="1">IFERROR(__xludf.DUMMYFUNCTION("""COMPUTED_VALUE"""),110)</f>
        <v>110</v>
      </c>
      <c r="D86" s="75">
        <f ca="1">IFERROR(__xludf.DUMMYFUNCTION("""COMPUTED_VALUE"""),50)</f>
        <v>50</v>
      </c>
      <c r="E86" s="76">
        <f ca="1">IFERROR(__xludf.DUMMYFUNCTION("""COMPUTED_VALUE"""),160)</f>
        <v>160</v>
      </c>
      <c r="F86" s="77">
        <f ca="1">IFERROR(__xludf.DUMMYFUNCTION("""COMPUTED_VALUE"""),10010484)</f>
        <v>10010484</v>
      </c>
      <c r="G86" s="77" t="str">
        <f t="shared" ca="1" si="0"/>
        <v>si</v>
      </c>
    </row>
    <row r="87" spans="1:7" ht="12.75" x14ac:dyDescent="0.2">
      <c r="A87" s="62">
        <f ca="1">IFERROR(__xludf.DUMMYFUNCTION("""COMPUTED_VALUE"""),10160186)</f>
        <v>10160186</v>
      </c>
      <c r="B87" s="62" t="str">
        <f ca="1">IFERROR(__xludf.DUMMYFUNCTION("""COMPUTED_VALUE"""),"Pantalla Samsung A03 - A03S - A02S")</f>
        <v>Pantalla Samsung A03 - A03S - A02S</v>
      </c>
      <c r="C87" s="75">
        <f ca="1">IFERROR(__xludf.DUMMYFUNCTION("""COMPUTED_VALUE"""),110)</f>
        <v>110</v>
      </c>
      <c r="D87" s="75">
        <f ca="1">IFERROR(__xludf.DUMMYFUNCTION("""COMPUTED_VALUE"""),50)</f>
        <v>50</v>
      </c>
      <c r="E87" s="76">
        <f ca="1">IFERROR(__xludf.DUMMYFUNCTION("""COMPUTED_VALUE"""),160)</f>
        <v>160</v>
      </c>
      <c r="F87" s="77">
        <f ca="1">IFERROR(__xludf.DUMMYFUNCTION("""COMPUTED_VALUE"""),10160186)</f>
        <v>10160186</v>
      </c>
      <c r="G87" s="77" t="str">
        <f t="shared" ca="1" si="0"/>
        <v>si</v>
      </c>
    </row>
    <row r="88" spans="1:7" ht="12.75" x14ac:dyDescent="0.2">
      <c r="A88" s="62">
        <f ca="1">IFERROR(__xludf.DUMMYFUNCTION("""COMPUTED_VALUE"""),10010180)</f>
        <v>10010180</v>
      </c>
      <c r="B88" s="62" t="str">
        <f ca="1">IFERROR(__xludf.DUMMYFUNCTION("""COMPUTED_VALUE"""),"Pantalla Samsung A3 2016  / A310 AAA")</f>
        <v>Pantalla Samsung A3 2016  / A310 AAA</v>
      </c>
      <c r="C88" s="75">
        <f ca="1">IFERROR(__xludf.DUMMYFUNCTION("""COMPUTED_VALUE"""),40)</f>
        <v>40</v>
      </c>
      <c r="D88" s="75">
        <f ca="1">IFERROR(__xludf.DUMMYFUNCTION("""COMPUTED_VALUE"""),50)</f>
        <v>50</v>
      </c>
      <c r="E88" s="76">
        <f ca="1">IFERROR(__xludf.DUMMYFUNCTION("""COMPUTED_VALUE"""),90)</f>
        <v>90</v>
      </c>
      <c r="F88" s="77">
        <f ca="1">IFERROR(__xludf.DUMMYFUNCTION("""COMPUTED_VALUE"""),10010180)</f>
        <v>10010180</v>
      </c>
      <c r="G88" s="77" t="str">
        <f t="shared" ca="1" si="0"/>
        <v>si</v>
      </c>
    </row>
    <row r="89" spans="1:7" ht="12.75" x14ac:dyDescent="0.2">
      <c r="A89" s="62">
        <f ca="1">IFERROR(__xludf.DUMMYFUNCTION("""COMPUTED_VALUE"""),10010188)</f>
        <v>10010188</v>
      </c>
      <c r="B89" s="62" t="str">
        <f ca="1">IFERROR(__xludf.DUMMYFUNCTION("""COMPUTED_VALUE"""),"Pantalla Samsung A6 Plus oled")</f>
        <v>Pantalla Samsung A6 Plus oled</v>
      </c>
      <c r="C89" s="75">
        <f ca="1">IFERROR(__xludf.DUMMYFUNCTION("""COMPUTED_VALUE"""),180)</f>
        <v>180</v>
      </c>
      <c r="D89" s="75">
        <f ca="1">IFERROR(__xludf.DUMMYFUNCTION("""COMPUTED_VALUE"""),50)</f>
        <v>50</v>
      </c>
      <c r="E89" s="76">
        <f ca="1">IFERROR(__xludf.DUMMYFUNCTION("""COMPUTED_VALUE"""),230)</f>
        <v>230</v>
      </c>
      <c r="F89" s="77">
        <f ca="1">IFERROR(__xludf.DUMMYFUNCTION("""COMPUTED_VALUE"""),10010188)</f>
        <v>10010188</v>
      </c>
      <c r="G89" s="77" t="str">
        <f t="shared" ca="1" si="0"/>
        <v>si</v>
      </c>
    </row>
    <row r="90" spans="1:7" ht="12.75" x14ac:dyDescent="0.2">
      <c r="A90" s="62">
        <f ca="1">IFERROR(__xludf.DUMMYFUNCTION("""COMPUTED_VALUE"""),10010502)</f>
        <v>10010502</v>
      </c>
      <c r="B90" s="62" t="str">
        <f ca="1">IFERROR(__xludf.DUMMYFUNCTION("""COMPUTED_VALUE"""),"Pantalla Samsung A40 + Con marco")</f>
        <v>Pantalla Samsung A40 + Con marco</v>
      </c>
      <c r="C90" s="75">
        <f ca="1">IFERROR(__xludf.DUMMYFUNCTION("""COMPUTED_VALUE"""),290)</f>
        <v>290</v>
      </c>
      <c r="D90" s="75">
        <f ca="1">IFERROR(__xludf.DUMMYFUNCTION("""COMPUTED_VALUE"""),50)</f>
        <v>50</v>
      </c>
      <c r="E90" s="76">
        <f ca="1">IFERROR(__xludf.DUMMYFUNCTION("""COMPUTED_VALUE"""),340)</f>
        <v>340</v>
      </c>
      <c r="F90" s="77">
        <f ca="1">IFERROR(__xludf.DUMMYFUNCTION("""COMPUTED_VALUE"""),10010502)</f>
        <v>10010502</v>
      </c>
      <c r="G90" s="77" t="str">
        <f t="shared" ca="1" si="0"/>
        <v>si</v>
      </c>
    </row>
    <row r="91" spans="1:7" ht="12.75" x14ac:dyDescent="0.2">
      <c r="A91" s="62">
        <f ca="1">IFERROR(__xludf.DUMMYFUNCTION("""COMPUTED_VALUE"""),10010190)</f>
        <v>10010190</v>
      </c>
      <c r="B91" s="62" t="str">
        <f ca="1">IFERROR(__xludf.DUMMYFUNCTION("""COMPUTED_VALUE"""),"Pantalla Samsung A7 2017  / A720 AAA")</f>
        <v>Pantalla Samsung A7 2017  / A720 AAA</v>
      </c>
      <c r="C91" s="75">
        <f ca="1">IFERROR(__xludf.DUMMYFUNCTION("""COMPUTED_VALUE"""),40)</f>
        <v>40</v>
      </c>
      <c r="D91" s="75">
        <f ca="1">IFERROR(__xludf.DUMMYFUNCTION("""COMPUTED_VALUE"""),50)</f>
        <v>50</v>
      </c>
      <c r="E91" s="76">
        <f ca="1">IFERROR(__xludf.DUMMYFUNCTION("""COMPUTED_VALUE"""),90)</f>
        <v>90</v>
      </c>
      <c r="F91" s="77">
        <f ca="1">IFERROR(__xludf.DUMMYFUNCTION("""COMPUTED_VALUE"""),10010190)</f>
        <v>10010190</v>
      </c>
      <c r="G91" s="77" t="str">
        <f t="shared" ca="1" si="0"/>
        <v>si</v>
      </c>
    </row>
    <row r="92" spans="1:7" ht="12.75" x14ac:dyDescent="0.2">
      <c r="A92" s="62">
        <f ca="1">IFERROR(__xludf.DUMMYFUNCTION("""COMPUTED_VALUE"""),10010191)</f>
        <v>10010191</v>
      </c>
      <c r="B92" s="62" t="str">
        <f ca="1">IFERROR(__xludf.DUMMYFUNCTION("""COMPUTED_VALUE"""),"Pantalla Samsung A7 2018  / A750  oled con marco")</f>
        <v>Pantalla Samsung A7 2018  / A750  oled con marco</v>
      </c>
      <c r="C92" s="75">
        <f ca="1">IFERROR(__xludf.DUMMYFUNCTION("""COMPUTED_VALUE"""),190)</f>
        <v>190</v>
      </c>
      <c r="D92" s="75">
        <f ca="1">IFERROR(__xludf.DUMMYFUNCTION("""COMPUTED_VALUE"""),50)</f>
        <v>50</v>
      </c>
      <c r="E92" s="76">
        <f ca="1">IFERROR(__xludf.DUMMYFUNCTION("""COMPUTED_VALUE"""),240)</f>
        <v>240</v>
      </c>
      <c r="F92" s="77">
        <f ca="1">IFERROR(__xludf.DUMMYFUNCTION("""COMPUTED_VALUE"""),10010191)</f>
        <v>10010191</v>
      </c>
      <c r="G92" s="77" t="str">
        <f t="shared" ca="1" si="0"/>
        <v>si</v>
      </c>
    </row>
    <row r="93" spans="1:7" ht="12.75" x14ac:dyDescent="0.2">
      <c r="A93" s="62">
        <f ca="1">IFERROR(__xludf.DUMMYFUNCTION("""COMPUTED_VALUE"""),10010195)</f>
        <v>10010195</v>
      </c>
      <c r="B93" s="62" t="str">
        <f ca="1">IFERROR(__xludf.DUMMYFUNCTION("""COMPUTED_VALUE"""),"Pantalla Samsung A8 plus Oled   A730")</f>
        <v>Pantalla Samsung A8 plus Oled   A730</v>
      </c>
      <c r="C93" s="75">
        <f ca="1">IFERROR(__xludf.DUMMYFUNCTION("""COMPUTED_VALUE"""),240)</f>
        <v>240</v>
      </c>
      <c r="D93" s="75">
        <f ca="1">IFERROR(__xludf.DUMMYFUNCTION("""COMPUTED_VALUE"""),50)</f>
        <v>50</v>
      </c>
      <c r="E93" s="76">
        <f ca="1">IFERROR(__xludf.DUMMYFUNCTION("""COMPUTED_VALUE"""),290)</f>
        <v>290</v>
      </c>
      <c r="F93" s="77">
        <f ca="1">IFERROR(__xludf.DUMMYFUNCTION("""COMPUTED_VALUE"""),10010195)</f>
        <v>10010195</v>
      </c>
      <c r="G93" s="77" t="str">
        <f t="shared" ca="1" si="0"/>
        <v>si</v>
      </c>
    </row>
    <row r="94" spans="1:7" ht="12.75" x14ac:dyDescent="0.2">
      <c r="A94" s="62">
        <f ca="1">IFERROR(__xludf.DUMMYFUNCTION("""COMPUTED_VALUE"""),10010187)</f>
        <v>10010187</v>
      </c>
      <c r="B94" s="62" t="str">
        <f ca="1">IFERROR(__xludf.DUMMYFUNCTION("""COMPUTED_VALUE"""),"Pantalla Samsung A51 con Marco Original")</f>
        <v>Pantalla Samsung A51 con Marco Original</v>
      </c>
      <c r="C94" s="75">
        <f ca="1">IFERROR(__xludf.DUMMYFUNCTION("""COMPUTED_VALUE"""),220)</f>
        <v>220</v>
      </c>
      <c r="D94" s="75">
        <f ca="1">IFERROR(__xludf.DUMMYFUNCTION("""COMPUTED_VALUE"""),100)</f>
        <v>100</v>
      </c>
      <c r="E94" s="76">
        <f ca="1">IFERROR(__xludf.DUMMYFUNCTION("""COMPUTED_VALUE"""),320)</f>
        <v>320</v>
      </c>
      <c r="F94" s="77">
        <f ca="1">IFERROR(__xludf.DUMMYFUNCTION("""COMPUTED_VALUE"""),10010187)</f>
        <v>10010187</v>
      </c>
      <c r="G94" s="77" t="str">
        <f t="shared" ca="1" si="0"/>
        <v>si</v>
      </c>
    </row>
    <row r="95" spans="1:7" ht="12.75" x14ac:dyDescent="0.2">
      <c r="A95" s="62">
        <f ca="1">IFERROR(__xludf.DUMMYFUNCTION("""COMPUTED_VALUE"""),10010174)</f>
        <v>10010174</v>
      </c>
      <c r="B95" s="62" t="str">
        <f ca="1">IFERROR(__xludf.DUMMYFUNCTION("""COMPUTED_VALUE"""),"Pantalla Samsung A10 Original")</f>
        <v>Pantalla Samsung A10 Original</v>
      </c>
      <c r="C95" s="75">
        <f ca="1">IFERROR(__xludf.DUMMYFUNCTION("""COMPUTED_VALUE"""),90)</f>
        <v>90</v>
      </c>
      <c r="D95" s="75">
        <f ca="1">IFERROR(__xludf.DUMMYFUNCTION("""COMPUTED_VALUE"""),50)</f>
        <v>50</v>
      </c>
      <c r="E95" s="76">
        <f ca="1">IFERROR(__xludf.DUMMYFUNCTION("""COMPUTED_VALUE"""),140)</f>
        <v>140</v>
      </c>
      <c r="F95" s="77">
        <f ca="1">IFERROR(__xludf.DUMMYFUNCTION("""COMPUTED_VALUE"""),10010174)</f>
        <v>10010174</v>
      </c>
      <c r="G95" s="77" t="str">
        <f t="shared" ca="1" si="0"/>
        <v>si</v>
      </c>
    </row>
    <row r="96" spans="1:7" ht="12.75" x14ac:dyDescent="0.2">
      <c r="A96" s="62">
        <f ca="1">IFERROR(__xludf.DUMMYFUNCTION("""COMPUTED_VALUE"""),10010175)</f>
        <v>10010175</v>
      </c>
      <c r="B96" s="62" t="str">
        <f ca="1">IFERROR(__xludf.DUMMYFUNCTION("""COMPUTED_VALUE"""),"Pantalla Samsung A10S Original")</f>
        <v>Pantalla Samsung A10S Original</v>
      </c>
      <c r="C96" s="75">
        <f ca="1">IFERROR(__xludf.DUMMYFUNCTION("""COMPUTED_VALUE"""),90)</f>
        <v>90</v>
      </c>
      <c r="D96" s="75">
        <f ca="1">IFERROR(__xludf.DUMMYFUNCTION("""COMPUTED_VALUE"""),50)</f>
        <v>50</v>
      </c>
      <c r="E96" s="76">
        <f ca="1">IFERROR(__xludf.DUMMYFUNCTION("""COMPUTED_VALUE"""),140)</f>
        <v>140</v>
      </c>
      <c r="F96" s="77">
        <f ca="1">IFERROR(__xludf.DUMMYFUNCTION("""COMPUTED_VALUE"""),10010175)</f>
        <v>10010175</v>
      </c>
      <c r="G96" s="77" t="str">
        <f t="shared" ca="1" si="0"/>
        <v>si</v>
      </c>
    </row>
    <row r="97" spans="1:7" ht="12.75" x14ac:dyDescent="0.2">
      <c r="A97" s="62">
        <f ca="1">IFERROR(__xludf.DUMMYFUNCTION("""COMPUTED_VALUE"""),10010176)</f>
        <v>10010176</v>
      </c>
      <c r="B97" s="62" t="str">
        <f ca="1">IFERROR(__xludf.DUMMYFUNCTION("""COMPUTED_VALUE"""),"Pantalla Samsung A11 - M11 Original")</f>
        <v>Pantalla Samsung A11 - M11 Original</v>
      </c>
      <c r="C97" s="75">
        <f ca="1">IFERROR(__xludf.DUMMYFUNCTION("""COMPUTED_VALUE"""),140)</f>
        <v>140</v>
      </c>
      <c r="D97" s="75">
        <f ca="1">IFERROR(__xludf.DUMMYFUNCTION("""COMPUTED_VALUE"""),50)</f>
        <v>50</v>
      </c>
      <c r="E97" s="76">
        <f ca="1">IFERROR(__xludf.DUMMYFUNCTION("""COMPUTED_VALUE"""),190)</f>
        <v>190</v>
      </c>
      <c r="F97" s="77">
        <f ca="1">IFERROR(__xludf.DUMMYFUNCTION("""COMPUTED_VALUE"""),10010176)</f>
        <v>10010176</v>
      </c>
      <c r="G97" s="77" t="str">
        <f t="shared" ca="1" si="0"/>
        <v>si</v>
      </c>
    </row>
    <row r="98" spans="1:7" ht="12.75" x14ac:dyDescent="0.2">
      <c r="A98" s="62">
        <f ca="1">IFERROR(__xludf.DUMMYFUNCTION("""COMPUTED_VALUE"""),10160022)</f>
        <v>10160022</v>
      </c>
      <c r="B98" s="62" t="str">
        <f ca="1">IFERROR(__xludf.DUMMYFUNCTION("""COMPUTED_VALUE"""),"Pantalla Samsung A12 A125 / M12 M125 - A022F  A02 Original")</f>
        <v>Pantalla Samsung A12 A125 / M12 M125 - A022F  A02 Original</v>
      </c>
      <c r="C98" s="75">
        <f ca="1">IFERROR(__xludf.DUMMYFUNCTION("""COMPUTED_VALUE"""),110)</f>
        <v>110</v>
      </c>
      <c r="D98" s="75">
        <f ca="1">IFERROR(__xludf.DUMMYFUNCTION("""COMPUTED_VALUE"""),50)</f>
        <v>50</v>
      </c>
      <c r="E98" s="76">
        <f ca="1">IFERROR(__xludf.DUMMYFUNCTION("""COMPUTED_VALUE"""),160)</f>
        <v>160</v>
      </c>
      <c r="F98" s="77">
        <f ca="1">IFERROR(__xludf.DUMMYFUNCTION("""COMPUTED_VALUE"""),10160022)</f>
        <v>10160022</v>
      </c>
      <c r="G98" s="77" t="str">
        <f t="shared" ca="1" si="0"/>
        <v>si</v>
      </c>
    </row>
    <row r="99" spans="1:7" ht="12.75" x14ac:dyDescent="0.2">
      <c r="A99" s="62">
        <f ca="1">IFERROR(__xludf.DUMMYFUNCTION("""COMPUTED_VALUE"""),10010193)</f>
        <v>10010193</v>
      </c>
      <c r="B99" s="62" t="str">
        <f ca="1">IFERROR(__xludf.DUMMYFUNCTION("""COMPUTED_VALUE"""),"Pantalla Samsung A71 4g (A715) con marco Original")</f>
        <v>Pantalla Samsung A71 4g (A715) con marco Original</v>
      </c>
      <c r="C99" s="75">
        <f ca="1">IFERROR(__xludf.DUMMYFUNCTION("""COMPUTED_VALUE"""),360)</f>
        <v>360</v>
      </c>
      <c r="D99" s="75">
        <f ca="1">IFERROR(__xludf.DUMMYFUNCTION("""COMPUTED_VALUE"""),70)</f>
        <v>70</v>
      </c>
      <c r="E99" s="76">
        <f ca="1">IFERROR(__xludf.DUMMYFUNCTION("""COMPUTED_VALUE"""),430)</f>
        <v>430</v>
      </c>
      <c r="F99" s="77">
        <f ca="1">IFERROR(__xludf.DUMMYFUNCTION("""COMPUTED_VALUE"""),10010193)</f>
        <v>10010193</v>
      </c>
      <c r="G99" s="77" t="str">
        <f t="shared" ca="1" si="0"/>
        <v>si</v>
      </c>
    </row>
    <row r="100" spans="1:7" ht="12.75" x14ac:dyDescent="0.2">
      <c r="A100" s="62">
        <f ca="1">IFERROR(__xludf.DUMMYFUNCTION("""COMPUTED_VALUE"""),10010464)</f>
        <v>10010464</v>
      </c>
      <c r="B100" s="62" t="str">
        <f ca="1">IFERROR(__xludf.DUMMYFUNCTION("""COMPUTED_VALUE"""),"Pantalla Samsung A53 5g con Marco")</f>
        <v>Pantalla Samsung A53 5g con Marco</v>
      </c>
      <c r="C100" s="75">
        <f ca="1">IFERROR(__xludf.DUMMYFUNCTION("""COMPUTED_VALUE"""),470)</f>
        <v>470</v>
      </c>
      <c r="D100" s="75">
        <f ca="1">IFERROR(__xludf.DUMMYFUNCTION("""COMPUTED_VALUE"""),70)</f>
        <v>70</v>
      </c>
      <c r="E100" s="76">
        <f ca="1">IFERROR(__xludf.DUMMYFUNCTION("""COMPUTED_VALUE"""),540)</f>
        <v>540</v>
      </c>
      <c r="F100" s="77">
        <f ca="1">IFERROR(__xludf.DUMMYFUNCTION("""COMPUTED_VALUE"""),10010464)</f>
        <v>10010464</v>
      </c>
      <c r="G100" s="77" t="str">
        <f t="shared" ca="1" si="0"/>
        <v>si</v>
      </c>
    </row>
    <row r="101" spans="1:7" ht="12.75" x14ac:dyDescent="0.2">
      <c r="A101" s="62">
        <f ca="1">IFERROR(__xludf.DUMMYFUNCTION("""COMPUTED_VALUE"""),10010377)</f>
        <v>10010377</v>
      </c>
      <c r="B101" s="62" t="str">
        <f ca="1">IFERROR(__xludf.DUMMYFUNCTION("""COMPUTED_VALUE"""),"Pantalla Samsung A20 OLED")</f>
        <v>Pantalla Samsung A20 OLED</v>
      </c>
      <c r="C101" s="75">
        <f ca="1">IFERROR(__xludf.DUMMYFUNCTION("""COMPUTED_VALUE"""),160)</f>
        <v>160</v>
      </c>
      <c r="D101" s="75">
        <f ca="1">IFERROR(__xludf.DUMMYFUNCTION("""COMPUTED_VALUE"""),30)</f>
        <v>30</v>
      </c>
      <c r="E101" s="76">
        <f ca="1">IFERROR(__xludf.DUMMYFUNCTION("""COMPUTED_VALUE"""),190)</f>
        <v>190</v>
      </c>
      <c r="F101" s="77">
        <f ca="1">IFERROR(__xludf.DUMMYFUNCTION("""COMPUTED_VALUE"""),10010377)</f>
        <v>10010377</v>
      </c>
      <c r="G101" s="77" t="str">
        <f t="shared" ca="1" si="0"/>
        <v>si</v>
      </c>
    </row>
    <row r="102" spans="1:7" ht="12.75" x14ac:dyDescent="0.2">
      <c r="A102" s="62">
        <f ca="1">IFERROR(__xludf.DUMMYFUNCTION("""COMPUTED_VALUE"""),10010178)</f>
        <v>10010178</v>
      </c>
      <c r="B102" s="62" t="str">
        <f ca="1">IFERROR(__xludf.DUMMYFUNCTION("""COMPUTED_VALUE"""),"Pantalla Samsung A20S  Original")</f>
        <v>Pantalla Samsung A20S  Original</v>
      </c>
      <c r="C102" s="75">
        <f ca="1">IFERROR(__xludf.DUMMYFUNCTION("""COMPUTED_VALUE"""),120)</f>
        <v>120</v>
      </c>
      <c r="D102" s="75">
        <f ca="1">IFERROR(__xludf.DUMMYFUNCTION("""COMPUTED_VALUE"""),50)</f>
        <v>50</v>
      </c>
      <c r="E102" s="76">
        <f ca="1">IFERROR(__xludf.DUMMYFUNCTION("""COMPUTED_VALUE"""),170)</f>
        <v>170</v>
      </c>
      <c r="F102" s="77">
        <f ca="1">IFERROR(__xludf.DUMMYFUNCTION("""COMPUTED_VALUE"""),10010178)</f>
        <v>10010178</v>
      </c>
      <c r="G102" s="77" t="str">
        <f t="shared" ca="1" si="0"/>
        <v>si</v>
      </c>
    </row>
    <row r="103" spans="1:7" ht="12.75" x14ac:dyDescent="0.2">
      <c r="A103" s="62">
        <f ca="1">IFERROR(__xludf.DUMMYFUNCTION("""COMPUTED_VALUE"""),10160049)</f>
        <v>10160049</v>
      </c>
      <c r="B103" s="62" t="str">
        <f ca="1">IFERROR(__xludf.DUMMYFUNCTION("""COMPUTED_VALUE"""),"Pantalla Samsung A21 Original")</f>
        <v>Pantalla Samsung A21 Original</v>
      </c>
      <c r="C103" s="75">
        <f ca="1">IFERROR(__xludf.DUMMYFUNCTION("""COMPUTED_VALUE"""),150)</f>
        <v>150</v>
      </c>
      <c r="D103" s="75">
        <f ca="1">IFERROR(__xludf.DUMMYFUNCTION("""COMPUTED_VALUE"""),40)</f>
        <v>40</v>
      </c>
      <c r="E103" s="76">
        <f ca="1">IFERROR(__xludf.DUMMYFUNCTION("""COMPUTED_VALUE"""),190)</f>
        <v>190</v>
      </c>
      <c r="F103" s="77">
        <f ca="1">IFERROR(__xludf.DUMMYFUNCTION("""COMPUTED_VALUE"""),10160049)</f>
        <v>10160049</v>
      </c>
      <c r="G103" s="77" t="str">
        <f t="shared" ca="1" si="0"/>
        <v>si</v>
      </c>
    </row>
    <row r="104" spans="1:7" ht="12.75" x14ac:dyDescent="0.2">
      <c r="A104" s="62">
        <f ca="1">IFERROR(__xludf.DUMMYFUNCTION("""COMPUTED_VALUE"""),10010179)</f>
        <v>10010179</v>
      </c>
      <c r="B104" s="62" t="str">
        <f ca="1">IFERROR(__xludf.DUMMYFUNCTION("""COMPUTED_VALUE"""),"Pantalla Samsung A21S  Original")</f>
        <v>Pantalla Samsung A21S  Original</v>
      </c>
      <c r="C104" s="75">
        <f ca="1">IFERROR(__xludf.DUMMYFUNCTION("""COMPUTED_VALUE"""),140)</f>
        <v>140</v>
      </c>
      <c r="D104" s="75">
        <f ca="1">IFERROR(__xludf.DUMMYFUNCTION("""COMPUTED_VALUE"""),50)</f>
        <v>50</v>
      </c>
      <c r="E104" s="76">
        <f ca="1">IFERROR(__xludf.DUMMYFUNCTION("""COMPUTED_VALUE"""),190)</f>
        <v>190</v>
      </c>
      <c r="F104" s="77">
        <f ca="1">IFERROR(__xludf.DUMMYFUNCTION("""COMPUTED_VALUE"""),10010179)</f>
        <v>10010179</v>
      </c>
      <c r="G104" s="77" t="str">
        <f t="shared" ca="1" si="0"/>
        <v>si</v>
      </c>
    </row>
    <row r="105" spans="1:7" ht="12.75" x14ac:dyDescent="0.2">
      <c r="A105" s="62">
        <f ca="1">IFERROR(__xludf.DUMMYFUNCTION("""COMPUTED_VALUE"""),10010420)</f>
        <v>10010420</v>
      </c>
      <c r="B105" s="62" t="str">
        <f ca="1">IFERROR(__xludf.DUMMYFUNCTION("""COMPUTED_VALUE"""),"Pantalla Samsung A22 5G")</f>
        <v>Pantalla Samsung A22 5G</v>
      </c>
      <c r="C105" s="75">
        <f ca="1">IFERROR(__xludf.DUMMYFUNCTION("""COMPUTED_VALUE"""),160)</f>
        <v>160</v>
      </c>
      <c r="D105" s="75">
        <f ca="1">IFERROR(__xludf.DUMMYFUNCTION("""COMPUTED_VALUE"""),30)</f>
        <v>30</v>
      </c>
      <c r="E105" s="76">
        <f ca="1">IFERROR(__xludf.DUMMYFUNCTION("""COMPUTED_VALUE"""),190)</f>
        <v>190</v>
      </c>
      <c r="F105" s="77">
        <f ca="1">IFERROR(__xludf.DUMMYFUNCTION("""COMPUTED_VALUE"""),10010420)</f>
        <v>10010420</v>
      </c>
      <c r="G105" s="77" t="str">
        <f t="shared" ca="1" si="0"/>
        <v>si</v>
      </c>
    </row>
    <row r="106" spans="1:7" ht="12.75" x14ac:dyDescent="0.2">
      <c r="A106" s="62">
        <f ca="1">IFERROR(__xludf.DUMMYFUNCTION("""COMPUTED_VALUE"""),10010181)</f>
        <v>10010181</v>
      </c>
      <c r="B106" s="62" t="str">
        <f ca="1">IFERROR(__xludf.DUMMYFUNCTION("""COMPUTED_VALUE"""),"Pantalla Samsung A30 oled con marco")</f>
        <v>Pantalla Samsung A30 oled con marco</v>
      </c>
      <c r="C106" s="75">
        <f ca="1">IFERROR(__xludf.DUMMYFUNCTION("""COMPUTED_VALUE"""),220)</f>
        <v>220</v>
      </c>
      <c r="D106" s="75">
        <f ca="1">IFERROR(__xludf.DUMMYFUNCTION("""COMPUTED_VALUE"""),40)</f>
        <v>40</v>
      </c>
      <c r="E106" s="76">
        <f ca="1">IFERROR(__xludf.DUMMYFUNCTION("""COMPUTED_VALUE"""),260)</f>
        <v>260</v>
      </c>
      <c r="F106" s="77">
        <f ca="1">IFERROR(__xludf.DUMMYFUNCTION("""COMPUTED_VALUE"""),10010181)</f>
        <v>10010181</v>
      </c>
      <c r="G106" s="77" t="str">
        <f t="shared" ca="1" si="0"/>
        <v>si</v>
      </c>
    </row>
    <row r="107" spans="1:7" ht="12.75" x14ac:dyDescent="0.2">
      <c r="A107" s="62">
        <f ca="1">IFERROR(__xludf.DUMMYFUNCTION("""COMPUTED_VALUE"""),10010182)</f>
        <v>10010182</v>
      </c>
      <c r="B107" s="62" t="str">
        <f ca="1">IFERROR(__xludf.DUMMYFUNCTION("""COMPUTED_VALUE"""),"Pantalla Samsung A30S OLED con marco")</f>
        <v>Pantalla Samsung A30S OLED con marco</v>
      </c>
      <c r="C107" s="75">
        <f ca="1">IFERROR(__xludf.DUMMYFUNCTION("""COMPUTED_VALUE"""),220)</f>
        <v>220</v>
      </c>
      <c r="D107" s="75">
        <f ca="1">IFERROR(__xludf.DUMMYFUNCTION("""COMPUTED_VALUE"""),40)</f>
        <v>40</v>
      </c>
      <c r="E107" s="76">
        <f ca="1">IFERROR(__xludf.DUMMYFUNCTION("""COMPUTED_VALUE"""),260)</f>
        <v>260</v>
      </c>
      <c r="F107" s="77">
        <f ca="1">IFERROR(__xludf.DUMMYFUNCTION("""COMPUTED_VALUE"""),10010182)</f>
        <v>10010182</v>
      </c>
      <c r="G107" s="77" t="str">
        <f t="shared" ca="1" si="0"/>
        <v>si</v>
      </c>
    </row>
    <row r="108" spans="1:7" ht="12.75" x14ac:dyDescent="0.2">
      <c r="A108" s="62">
        <f ca="1">IFERROR(__xludf.DUMMYFUNCTION("""COMPUTED_VALUE"""),10010183)</f>
        <v>10010183</v>
      </c>
      <c r="B108" s="62" t="str">
        <f ca="1">IFERROR(__xludf.DUMMYFUNCTION("""COMPUTED_VALUE"""),"Pantalla Samsung A31 oled con marco")</f>
        <v>Pantalla Samsung A31 oled con marco</v>
      </c>
      <c r="C108" s="75">
        <f ca="1">IFERROR(__xludf.DUMMYFUNCTION("""COMPUTED_VALUE"""),240)</f>
        <v>240</v>
      </c>
      <c r="D108" s="75">
        <f ca="1">IFERROR(__xludf.DUMMYFUNCTION("""COMPUTED_VALUE"""),30)</f>
        <v>30</v>
      </c>
      <c r="E108" s="76">
        <f ca="1">IFERROR(__xludf.DUMMYFUNCTION("""COMPUTED_VALUE"""),270)</f>
        <v>270</v>
      </c>
      <c r="F108" s="77">
        <f ca="1">IFERROR(__xludf.DUMMYFUNCTION("""COMPUTED_VALUE"""),10010183)</f>
        <v>10010183</v>
      </c>
      <c r="G108" s="77" t="str">
        <f t="shared" ca="1" si="0"/>
        <v>si</v>
      </c>
    </row>
    <row r="109" spans="1:7" ht="12.75" x14ac:dyDescent="0.2">
      <c r="A109" s="62">
        <f ca="1">IFERROR(__xludf.DUMMYFUNCTION("""COMPUTED_VALUE"""),30010001)</f>
        <v>30010001</v>
      </c>
      <c r="B109" s="62" t="str">
        <f ca="1">IFERROR(__xludf.DUMMYFUNCTION("""COMPUTED_VALUE"""),"Pantalla Samsung A32 4G oled con marco calidad original ")</f>
        <v xml:space="preserve">Pantalla Samsung A32 4G oled con marco calidad original </v>
      </c>
      <c r="C109" s="75">
        <f ca="1">IFERROR(__xludf.DUMMYFUNCTION("""COMPUTED_VALUE"""),290)</f>
        <v>290</v>
      </c>
      <c r="D109" s="75">
        <f ca="1">IFERROR(__xludf.DUMMYFUNCTION("""COMPUTED_VALUE"""),30)</f>
        <v>30</v>
      </c>
      <c r="E109" s="76">
        <f ca="1">IFERROR(__xludf.DUMMYFUNCTION("""COMPUTED_VALUE"""),320)</f>
        <v>320</v>
      </c>
      <c r="F109" s="77">
        <f ca="1">IFERROR(__xludf.DUMMYFUNCTION("""COMPUTED_VALUE"""),30010001)</f>
        <v>30010001</v>
      </c>
      <c r="G109" s="77" t="str">
        <f t="shared" ca="1" si="0"/>
        <v>si</v>
      </c>
    </row>
    <row r="110" spans="1:7" ht="12.75" x14ac:dyDescent="0.2">
      <c r="A110" s="62">
        <f ca="1">IFERROR(__xludf.DUMMYFUNCTION("""COMPUTED_VALUE"""),10080014)</f>
        <v>10080014</v>
      </c>
      <c r="B110" s="62" t="str">
        <f ca="1">IFERROR(__xludf.DUMMYFUNCTION("""COMPUTED_VALUE"""),"Pantalla Samsung A52 4G / 5G oled con marco calidad original ")</f>
        <v xml:space="preserve">Pantalla Samsung A52 4G / 5G oled con marco calidad original </v>
      </c>
      <c r="C110" s="75">
        <f ca="1">IFERROR(__xludf.DUMMYFUNCTION("""COMPUTED_VALUE"""),390)</f>
        <v>390</v>
      </c>
      <c r="D110" s="75">
        <f ca="1">IFERROR(__xludf.DUMMYFUNCTION("""COMPUTED_VALUE"""),50)</f>
        <v>50</v>
      </c>
      <c r="E110" s="76">
        <f ca="1">IFERROR(__xludf.DUMMYFUNCTION("""COMPUTED_VALUE"""),440)</f>
        <v>440</v>
      </c>
      <c r="F110" s="77">
        <f ca="1">IFERROR(__xludf.DUMMYFUNCTION("""COMPUTED_VALUE"""),10080014)</f>
        <v>10080014</v>
      </c>
      <c r="G110" s="77" t="str">
        <f t="shared" ca="1" si="0"/>
        <v>si</v>
      </c>
    </row>
    <row r="111" spans="1:7" ht="12.75" x14ac:dyDescent="0.2">
      <c r="A111" s="62">
        <f ca="1">IFERROR(__xludf.DUMMYFUNCTION("""COMPUTED_VALUE"""),10080018)</f>
        <v>10080018</v>
      </c>
      <c r="B111" s="62" t="str">
        <f ca="1">IFERROR(__xludf.DUMMYFUNCTION("""COMPUTED_VALUE"""),"Pantalla Samsung A72 4G oled con marco calidad original ")</f>
        <v xml:space="preserve">Pantalla Samsung A72 4G oled con marco calidad original </v>
      </c>
      <c r="C111" s="75">
        <f ca="1">IFERROR(__xludf.DUMMYFUNCTION("""COMPUTED_VALUE"""),440)</f>
        <v>440</v>
      </c>
      <c r="D111" s="75">
        <f ca="1">IFERROR(__xludf.DUMMYFUNCTION("""COMPUTED_VALUE"""),20)</f>
        <v>20</v>
      </c>
      <c r="E111" s="76">
        <f ca="1">IFERROR(__xludf.DUMMYFUNCTION("""COMPUTED_VALUE"""),460)</f>
        <v>460</v>
      </c>
      <c r="F111" s="77">
        <f ca="1">IFERROR(__xludf.DUMMYFUNCTION("""COMPUTED_VALUE"""),10080018)</f>
        <v>10080018</v>
      </c>
      <c r="G111" s="77" t="str">
        <f t="shared" ca="1" si="0"/>
        <v>si</v>
      </c>
    </row>
    <row r="112" spans="1:7" ht="12.75" x14ac:dyDescent="0.2">
      <c r="A112" s="62">
        <f ca="1">IFERROR(__xludf.DUMMYFUNCTION("""COMPUTED_VALUE"""),10110029)</f>
        <v>10110029</v>
      </c>
      <c r="B112" s="62" t="str">
        <f ca="1">IFERROR(__xludf.DUMMYFUNCTION("""COMPUTED_VALUE"""),"Pantalla Samsung A32 5G oled con marco calidad original ")</f>
        <v xml:space="preserve">Pantalla Samsung A32 5G oled con marco calidad original </v>
      </c>
      <c r="C112" s="75">
        <f ca="1">IFERROR(__xludf.DUMMYFUNCTION("""COMPUTED_VALUE"""),240)</f>
        <v>240</v>
      </c>
      <c r="D112" s="75">
        <f ca="1">IFERROR(__xludf.DUMMYFUNCTION("""COMPUTED_VALUE"""),20)</f>
        <v>20</v>
      </c>
      <c r="E112" s="76">
        <f ca="1">IFERROR(__xludf.DUMMYFUNCTION("""COMPUTED_VALUE"""),260)</f>
        <v>260</v>
      </c>
      <c r="F112" s="77">
        <f ca="1">IFERROR(__xludf.DUMMYFUNCTION("""COMPUTED_VALUE"""),10110029)</f>
        <v>10110029</v>
      </c>
      <c r="G112" s="77" t="str">
        <f t="shared" ca="1" si="0"/>
        <v>si</v>
      </c>
    </row>
    <row r="113" spans="1:7" ht="12.75" x14ac:dyDescent="0.2">
      <c r="A113" s="62">
        <f ca="1">IFERROR(__xludf.DUMMYFUNCTION("""COMPUTED_VALUE"""),10110030)</f>
        <v>10110030</v>
      </c>
      <c r="B113" s="62" t="str">
        <f ca="1">IFERROR(__xludf.DUMMYFUNCTION("""COMPUTED_VALUE"""),"Pantalla Samsung A52 5G oled con marco calidad original ")</f>
        <v xml:space="preserve">Pantalla Samsung A52 5G oled con marco calidad original </v>
      </c>
      <c r="C113" s="75">
        <f ca="1">IFERROR(__xludf.DUMMYFUNCTION("""COMPUTED_VALUE"""),360)</f>
        <v>360</v>
      </c>
      <c r="D113" s="75">
        <f ca="1">IFERROR(__xludf.DUMMYFUNCTION("""COMPUTED_VALUE"""),20)</f>
        <v>20</v>
      </c>
      <c r="E113" s="76">
        <f ca="1">IFERROR(__xludf.DUMMYFUNCTION("""COMPUTED_VALUE"""),380)</f>
        <v>380</v>
      </c>
      <c r="F113" s="77">
        <f ca="1">IFERROR(__xludf.DUMMYFUNCTION("""COMPUTED_VALUE"""),10110030)</f>
        <v>10110030</v>
      </c>
      <c r="G113" s="77" t="str">
        <f t="shared" ca="1" si="0"/>
        <v>si</v>
      </c>
    </row>
    <row r="114" spans="1:7" ht="12.75" x14ac:dyDescent="0.2">
      <c r="A114" s="62">
        <f ca="1">IFERROR(__xludf.DUMMYFUNCTION("""COMPUTED_VALUE"""),10110031)</f>
        <v>10110031</v>
      </c>
      <c r="B114" s="62" t="str">
        <f ca="1">IFERROR(__xludf.DUMMYFUNCTION("""COMPUTED_VALUE"""),"Pantalla Samsung A72 5G con marco calidad original ")</f>
        <v xml:space="preserve">Pantalla Samsung A72 5G con marco calidad original </v>
      </c>
      <c r="C114" s="75">
        <f ca="1">IFERROR(__xludf.DUMMYFUNCTION("""COMPUTED_VALUE"""),440)</f>
        <v>440</v>
      </c>
      <c r="D114" s="75">
        <f ca="1">IFERROR(__xludf.DUMMYFUNCTION("""COMPUTED_VALUE"""),20)</f>
        <v>20</v>
      </c>
      <c r="E114" s="76">
        <f ca="1">IFERROR(__xludf.DUMMYFUNCTION("""COMPUTED_VALUE"""),460)</f>
        <v>460</v>
      </c>
      <c r="F114" s="77">
        <f ca="1">IFERROR(__xludf.DUMMYFUNCTION("""COMPUTED_VALUE"""),10110031)</f>
        <v>10110031</v>
      </c>
      <c r="G114" s="77" t="str">
        <f t="shared" ca="1" si="0"/>
        <v>si</v>
      </c>
    </row>
    <row r="115" spans="1:7" ht="12.75" x14ac:dyDescent="0.2">
      <c r="A115" s="62">
        <f ca="1">IFERROR(__xludf.DUMMYFUNCTION("""COMPUTED_VALUE"""),10010186)</f>
        <v>10010186</v>
      </c>
      <c r="B115" s="62" t="str">
        <f ca="1">IFERROR(__xludf.DUMMYFUNCTION("""COMPUTED_VALUE"""),"Pantalla Samsung A50 oled  con marco")</f>
        <v>Pantalla Samsung A50 oled  con marco</v>
      </c>
      <c r="C115" s="75">
        <f ca="1">IFERROR(__xludf.DUMMYFUNCTION("""COMPUTED_VALUE"""),190)</f>
        <v>190</v>
      </c>
      <c r="D115" s="75">
        <f ca="1">IFERROR(__xludf.DUMMYFUNCTION("""COMPUTED_VALUE"""),30)</f>
        <v>30</v>
      </c>
      <c r="E115" s="76">
        <f ca="1">IFERROR(__xludf.DUMMYFUNCTION("""COMPUTED_VALUE"""),220)</f>
        <v>220</v>
      </c>
      <c r="F115" s="77">
        <f ca="1">IFERROR(__xludf.DUMMYFUNCTION("""COMPUTED_VALUE"""),10010186)</f>
        <v>10010186</v>
      </c>
      <c r="G115" s="77" t="str">
        <f t="shared" ca="1" si="0"/>
        <v>si</v>
      </c>
    </row>
    <row r="116" spans="1:7" ht="12.75" x14ac:dyDescent="0.2">
      <c r="A116" s="62">
        <f ca="1">IFERROR(__xludf.DUMMYFUNCTION("""COMPUTED_VALUE"""),10010192)</f>
        <v>10010192</v>
      </c>
      <c r="B116" s="62" t="str">
        <f ca="1">IFERROR(__xludf.DUMMYFUNCTION("""COMPUTED_VALUE"""),"Pantalla Samsung A70 / A7 2019 OLED con marco")</f>
        <v>Pantalla Samsung A70 / A7 2019 OLED con marco</v>
      </c>
      <c r="C116" s="75">
        <f ca="1">IFERROR(__xludf.DUMMYFUNCTION("""COMPUTED_VALUE"""),310)</f>
        <v>310</v>
      </c>
      <c r="D116" s="75">
        <f ca="1">IFERROR(__xludf.DUMMYFUNCTION("""COMPUTED_VALUE"""),30)</f>
        <v>30</v>
      </c>
      <c r="E116" s="76">
        <f ca="1">IFERROR(__xludf.DUMMYFUNCTION("""COMPUTED_VALUE"""),340)</f>
        <v>340</v>
      </c>
      <c r="F116" s="77">
        <f ca="1">IFERROR(__xludf.DUMMYFUNCTION("""COMPUTED_VALUE"""),10010192)</f>
        <v>10010192</v>
      </c>
      <c r="G116" s="77" t="str">
        <f t="shared" ca="1" si="0"/>
        <v>si</v>
      </c>
    </row>
    <row r="117" spans="1:7" ht="12.75" x14ac:dyDescent="0.2">
      <c r="A117" s="62">
        <f ca="1">IFERROR(__xludf.DUMMYFUNCTION("""COMPUTED_VALUE"""),10010196)</f>
        <v>10010196</v>
      </c>
      <c r="B117" s="62" t="str">
        <f ca="1">IFERROR(__xludf.DUMMYFUNCTION("""COMPUTED_VALUE"""),"Pantalla Samsung A80 con Marco Org")</f>
        <v>Pantalla Samsung A80 con Marco Org</v>
      </c>
      <c r="C117" s="75">
        <f ca="1">IFERROR(__xludf.DUMMYFUNCTION("""COMPUTED_VALUE"""),440)</f>
        <v>440</v>
      </c>
      <c r="D117" s="75">
        <f ca="1">IFERROR(__xludf.DUMMYFUNCTION("""COMPUTED_VALUE"""),30)</f>
        <v>30</v>
      </c>
      <c r="E117" s="76">
        <f ca="1">IFERROR(__xludf.DUMMYFUNCTION("""COMPUTED_VALUE"""),470)</f>
        <v>470</v>
      </c>
      <c r="F117" s="77">
        <f ca="1">IFERROR(__xludf.DUMMYFUNCTION("""COMPUTED_VALUE"""),10010196)</f>
        <v>10010196</v>
      </c>
      <c r="G117" s="77" t="str">
        <f t="shared" ca="1" si="0"/>
        <v>si</v>
      </c>
    </row>
    <row r="118" spans="1:7" ht="12.75" x14ac:dyDescent="0.2">
      <c r="A118" s="62">
        <f ca="1">IFERROR(__xludf.DUMMYFUNCTION("""COMPUTED_VALUE"""),10010194)</f>
        <v>10010194</v>
      </c>
      <c r="B118" s="62" t="str">
        <f ca="1">IFERROR(__xludf.DUMMYFUNCTION("""COMPUTED_VALUE"""),"Pantalla Samsung A8 2017 Original")</f>
        <v>Pantalla Samsung A8 2017 Original</v>
      </c>
      <c r="C118" s="75">
        <f ca="1">IFERROR(__xludf.DUMMYFUNCTION("""COMPUTED_VALUE"""),140)</f>
        <v>140</v>
      </c>
      <c r="D118" s="75">
        <f ca="1">IFERROR(__xludf.DUMMYFUNCTION("""COMPUTED_VALUE"""),0)</f>
        <v>0</v>
      </c>
      <c r="E118" s="76">
        <f ca="1">IFERROR(__xludf.DUMMYFUNCTION("""COMPUTED_VALUE"""),140)</f>
        <v>140</v>
      </c>
      <c r="F118" s="77">
        <f ca="1">IFERROR(__xludf.DUMMYFUNCTION("""COMPUTED_VALUE"""),10010194)</f>
        <v>10010194</v>
      </c>
      <c r="G118" s="77" t="str">
        <f t="shared" ca="1" si="0"/>
        <v>si</v>
      </c>
    </row>
    <row r="119" spans="1:7" ht="12.75" x14ac:dyDescent="0.2">
      <c r="A119" s="62">
        <f ca="1">IFERROR(__xludf.DUMMYFUNCTION("""COMPUTED_VALUE"""),10010197)</f>
        <v>10010197</v>
      </c>
      <c r="B119" s="62" t="str">
        <f ca="1">IFERROR(__xludf.DUMMYFUNCTION("""COMPUTED_VALUE"""),"Pantalla Samsung A9 2019 con marco Original")</f>
        <v>Pantalla Samsung A9 2019 con marco Original</v>
      </c>
      <c r="C119" s="75">
        <f ca="1">IFERROR(__xludf.DUMMYFUNCTION("""COMPUTED_VALUE"""),290)</f>
        <v>290</v>
      </c>
      <c r="D119" s="75">
        <f ca="1">IFERROR(__xludf.DUMMYFUNCTION("""COMPUTED_VALUE"""),40)</f>
        <v>40</v>
      </c>
      <c r="E119" s="76">
        <f ca="1">IFERROR(__xludf.DUMMYFUNCTION("""COMPUTED_VALUE"""),330)</f>
        <v>330</v>
      </c>
      <c r="F119" s="77">
        <f ca="1">IFERROR(__xludf.DUMMYFUNCTION("""COMPUTED_VALUE"""),10010197)</f>
        <v>10010197</v>
      </c>
      <c r="G119" s="77" t="str">
        <f t="shared" ca="1" si="0"/>
        <v>si</v>
      </c>
    </row>
    <row r="120" spans="1:7" ht="12.75" x14ac:dyDescent="0.2">
      <c r="A120" s="62">
        <f ca="1">IFERROR(__xludf.DUMMYFUNCTION("""COMPUTED_VALUE"""),10010355)</f>
        <v>10010355</v>
      </c>
      <c r="B120" s="62" t="str">
        <f ca="1">IFERROR(__xludf.DUMMYFUNCTION("""COMPUTED_VALUE"""),"Pantalla Samsung A9 2018 OLED")</f>
        <v>Pantalla Samsung A9 2018 OLED</v>
      </c>
      <c r="C120" s="75">
        <f ca="1">IFERROR(__xludf.DUMMYFUNCTION("""COMPUTED_VALUE"""),240)</f>
        <v>240</v>
      </c>
      <c r="D120" s="75">
        <f ca="1">IFERROR(__xludf.DUMMYFUNCTION("""COMPUTED_VALUE"""),0)</f>
        <v>0</v>
      </c>
      <c r="E120" s="76">
        <f ca="1">IFERROR(__xludf.DUMMYFUNCTION("""COMPUTED_VALUE"""),240)</f>
        <v>240</v>
      </c>
      <c r="F120" s="77">
        <f ca="1">IFERROR(__xludf.DUMMYFUNCTION("""COMPUTED_VALUE"""),10010355)</f>
        <v>10010355</v>
      </c>
      <c r="G120" s="77" t="str">
        <f t="shared" ca="1" si="0"/>
        <v>si</v>
      </c>
    </row>
    <row r="121" spans="1:7" ht="12.75" x14ac:dyDescent="0.2">
      <c r="A121" s="62">
        <f ca="1">IFERROR(__xludf.DUMMYFUNCTION("""COMPUTED_VALUE"""),10010198)</f>
        <v>10010198</v>
      </c>
      <c r="B121" s="62" t="str">
        <f ca="1">IFERROR(__xludf.DUMMYFUNCTION("""COMPUTED_VALUE"""),"Pantalla Samsung E5 AAA")</f>
        <v>Pantalla Samsung E5 AAA</v>
      </c>
      <c r="C121" s="75">
        <f ca="1">IFERROR(__xludf.DUMMYFUNCTION("""COMPUTED_VALUE"""),60)</f>
        <v>60</v>
      </c>
      <c r="D121" s="75">
        <f ca="1">IFERROR(__xludf.DUMMYFUNCTION("""COMPUTED_VALUE"""),0)</f>
        <v>0</v>
      </c>
      <c r="E121" s="76">
        <f ca="1">IFERROR(__xludf.DUMMYFUNCTION("""COMPUTED_VALUE"""),60)</f>
        <v>60</v>
      </c>
      <c r="F121" s="77">
        <f ca="1">IFERROR(__xludf.DUMMYFUNCTION("""COMPUTED_VALUE"""),10010198)</f>
        <v>10010198</v>
      </c>
      <c r="G121" s="77" t="str">
        <f t="shared" ca="1" si="0"/>
        <v>si</v>
      </c>
    </row>
    <row r="122" spans="1:7" ht="12.75" x14ac:dyDescent="0.2">
      <c r="A122" s="62">
        <f ca="1">IFERROR(__xludf.DUMMYFUNCTION("""COMPUTED_VALUE"""),10010222)</f>
        <v>10010222</v>
      </c>
      <c r="B122" s="62" t="str">
        <f ca="1">IFERROR(__xludf.DUMMYFUNCTION("""COMPUTED_VALUE"""),"Pantalla Samsung M20 ")</f>
        <v xml:space="preserve">Pantalla Samsung M20 </v>
      </c>
      <c r="C122" s="75">
        <f ca="1">IFERROR(__xludf.DUMMYFUNCTION("""COMPUTED_VALUE"""),120)</f>
        <v>120</v>
      </c>
      <c r="D122" s="75">
        <f ca="1">IFERROR(__xludf.DUMMYFUNCTION("""COMPUTED_VALUE"""),50)</f>
        <v>50</v>
      </c>
      <c r="E122" s="76">
        <f ca="1">IFERROR(__xludf.DUMMYFUNCTION("""COMPUTED_VALUE"""),170)</f>
        <v>170</v>
      </c>
      <c r="F122" s="77">
        <f ca="1">IFERROR(__xludf.DUMMYFUNCTION("""COMPUTED_VALUE"""),10010222)</f>
        <v>10010222</v>
      </c>
      <c r="G122" s="77" t="str">
        <f t="shared" ca="1" si="0"/>
        <v>si</v>
      </c>
    </row>
    <row r="123" spans="1:7" ht="12.75" x14ac:dyDescent="0.2">
      <c r="A123" s="62">
        <f ca="1">IFERROR(__xludf.DUMMYFUNCTION("""COMPUTED_VALUE"""),10160218)</f>
        <v>10160218</v>
      </c>
      <c r="B123" s="62" t="str">
        <f ca="1">IFERROR(__xludf.DUMMYFUNCTION("""COMPUTED_VALUE"""),"Pantalla Samsung A52S 5G oled con marco")</f>
        <v>Pantalla Samsung A52S 5G oled con marco</v>
      </c>
      <c r="C123" s="75">
        <f ca="1">IFERROR(__xludf.DUMMYFUNCTION("""COMPUTED_VALUE"""),390)</f>
        <v>390</v>
      </c>
      <c r="D123" s="75">
        <f ca="1">IFERROR(__xludf.DUMMYFUNCTION("""COMPUTED_VALUE"""),50)</f>
        <v>50</v>
      </c>
      <c r="E123" s="76">
        <f ca="1">IFERROR(__xludf.DUMMYFUNCTION("""COMPUTED_VALUE"""),440)</f>
        <v>440</v>
      </c>
      <c r="F123" s="77">
        <f ca="1">IFERROR(__xludf.DUMMYFUNCTION("""COMPUTED_VALUE"""),10160218)</f>
        <v>10160218</v>
      </c>
      <c r="G123" s="77" t="str">
        <f t="shared" ca="1" si="0"/>
        <v>si</v>
      </c>
    </row>
    <row r="124" spans="1:7" ht="12.75" x14ac:dyDescent="0.2">
      <c r="A124" s="62">
        <f ca="1">IFERROR(__xludf.DUMMYFUNCTION("""COMPUTED_VALUE"""),10160219)</f>
        <v>10160219</v>
      </c>
      <c r="B124" s="62" t="str">
        <f ca="1">IFERROR(__xludf.DUMMYFUNCTION("""COMPUTED_VALUE"""),"Pantalla Samsung Z Flip 3 EXTERNA")</f>
        <v>Pantalla Samsung Z Flip 3 EXTERNA</v>
      </c>
      <c r="C124" s="75">
        <f ca="1">IFERROR(__xludf.DUMMYFUNCTION("""COMPUTED_VALUE"""),1900)</f>
        <v>1900</v>
      </c>
      <c r="D124" s="75">
        <f ca="1">IFERROR(__xludf.DUMMYFUNCTION("""COMPUTED_VALUE"""),90)</f>
        <v>90</v>
      </c>
      <c r="E124" s="76">
        <f ca="1">IFERROR(__xludf.DUMMYFUNCTION("""COMPUTED_VALUE"""),1990)</f>
        <v>1990</v>
      </c>
      <c r="F124" s="77">
        <f ca="1">IFERROR(__xludf.DUMMYFUNCTION("""COMPUTED_VALUE"""),10160219)</f>
        <v>10160219</v>
      </c>
      <c r="G124" s="77" t="str">
        <f t="shared" ca="1" si="0"/>
        <v>si</v>
      </c>
    </row>
    <row r="125" spans="1:7" ht="12.75" x14ac:dyDescent="0.2">
      <c r="A125" s="62">
        <f ca="1">IFERROR(__xludf.DUMMYFUNCTION("""COMPUTED_VALUE"""),10010433)</f>
        <v>10010433</v>
      </c>
      <c r="B125" s="62" t="str">
        <f ca="1">IFERROR(__xludf.DUMMYFUNCTION("""COMPUTED_VALUE"""),"Pantalla Samsung Z Flip 3 INTERNA con marco")</f>
        <v>Pantalla Samsung Z Flip 3 INTERNA con marco</v>
      </c>
      <c r="C125" s="75">
        <f ca="1">IFERROR(__xludf.DUMMYFUNCTION("""COMPUTED_VALUE"""),2100)</f>
        <v>2100</v>
      </c>
      <c r="D125" s="75">
        <f ca="1">IFERROR(__xludf.DUMMYFUNCTION("""COMPUTED_VALUE"""),90)</f>
        <v>90</v>
      </c>
      <c r="E125" s="76">
        <f ca="1">IFERROR(__xludf.DUMMYFUNCTION("""COMPUTED_VALUE"""),2190)</f>
        <v>2190</v>
      </c>
      <c r="F125" s="77">
        <f ca="1">IFERROR(__xludf.DUMMYFUNCTION("""COMPUTED_VALUE"""),10010433)</f>
        <v>10010433</v>
      </c>
      <c r="G125" s="77" t="str">
        <f t="shared" ca="1" si="0"/>
        <v>si</v>
      </c>
    </row>
    <row r="126" spans="1:7" ht="12.75" x14ac:dyDescent="0.2">
      <c r="A126" s="62">
        <f ca="1">IFERROR(__xludf.DUMMYFUNCTION("""COMPUTED_VALUE"""),10010434)</f>
        <v>10010434</v>
      </c>
      <c r="B126" s="62" t="str">
        <f ca="1">IFERROR(__xludf.DUMMYFUNCTION("""COMPUTED_VALUE"""),"Pantalla Samsung Z Fold 3 con marco INTERNA")</f>
        <v>Pantalla Samsung Z Fold 3 con marco INTERNA</v>
      </c>
      <c r="C126" s="75">
        <f ca="1">IFERROR(__xludf.DUMMYFUNCTION("""COMPUTED_VALUE"""),2840)</f>
        <v>2840</v>
      </c>
      <c r="D126" s="75">
        <f ca="1">IFERROR(__xludf.DUMMYFUNCTION("""COMPUTED_VALUE"""),50)</f>
        <v>50</v>
      </c>
      <c r="E126" s="76">
        <f ca="1">IFERROR(__xludf.DUMMYFUNCTION("""COMPUTED_VALUE"""),2890)</f>
        <v>2890</v>
      </c>
      <c r="F126" s="77">
        <f ca="1">IFERROR(__xludf.DUMMYFUNCTION("""COMPUTED_VALUE"""),10010434)</f>
        <v>10010434</v>
      </c>
      <c r="G126" s="77" t="str">
        <f t="shared" ca="1" si="0"/>
        <v>si</v>
      </c>
    </row>
    <row r="127" spans="1:7" ht="12.75" x14ac:dyDescent="0.2">
      <c r="A127" s="62">
        <f ca="1">IFERROR(__xludf.DUMMYFUNCTION("""COMPUTED_VALUE"""),10010435)</f>
        <v>10010435</v>
      </c>
      <c r="B127" s="62" t="str">
        <f ca="1">IFERROR(__xludf.DUMMYFUNCTION("""COMPUTED_VALUE"""),"Pantalla Samsung M30-M31")</f>
        <v>Pantalla Samsung M30-M31</v>
      </c>
      <c r="C127" s="75">
        <f ca="1">IFERROR(__xludf.DUMMYFUNCTION("""COMPUTED_VALUE"""),220)</f>
        <v>220</v>
      </c>
      <c r="D127" s="75">
        <f ca="1">IFERROR(__xludf.DUMMYFUNCTION("""COMPUTED_VALUE"""),50)</f>
        <v>50</v>
      </c>
      <c r="E127" s="76">
        <f ca="1">IFERROR(__xludf.DUMMYFUNCTION("""COMPUTED_VALUE"""),270)</f>
        <v>270</v>
      </c>
      <c r="F127" s="77">
        <f ca="1">IFERROR(__xludf.DUMMYFUNCTION("""COMPUTED_VALUE"""),10010435)</f>
        <v>10010435</v>
      </c>
      <c r="G127" s="77" t="str">
        <f t="shared" ca="1" si="0"/>
        <v>si</v>
      </c>
    </row>
    <row r="128" spans="1:7" ht="12.75" x14ac:dyDescent="0.2">
      <c r="A128" s="62">
        <f ca="1">IFERROR(__xludf.DUMMYFUNCTION("""COMPUTED_VALUE"""),10010436)</f>
        <v>10010436</v>
      </c>
      <c r="B128" s="62" t="str">
        <f ca="1">IFERROR(__xludf.DUMMYFUNCTION("""COMPUTED_VALUE"""),"Pantalla Samsung A22 4G")</f>
        <v>Pantalla Samsung A22 4G</v>
      </c>
      <c r="C128" s="75">
        <f ca="1">IFERROR(__xludf.DUMMYFUNCTION("""COMPUTED_VALUE"""),340)</f>
        <v>340</v>
      </c>
      <c r="D128" s="75">
        <f ca="1">IFERROR(__xludf.DUMMYFUNCTION("""COMPUTED_VALUE"""),30)</f>
        <v>30</v>
      </c>
      <c r="E128" s="76">
        <f ca="1">IFERROR(__xludf.DUMMYFUNCTION("""COMPUTED_VALUE"""),370)</f>
        <v>370</v>
      </c>
      <c r="F128" s="77">
        <f ca="1">IFERROR(__xludf.DUMMYFUNCTION("""COMPUTED_VALUE"""),10010436)</f>
        <v>10010436</v>
      </c>
      <c r="G128" s="77" t="str">
        <f t="shared" ca="1" si="0"/>
        <v>si</v>
      </c>
    </row>
    <row r="129" spans="1:7" ht="12.75" x14ac:dyDescent="0.2">
      <c r="A129" s="62">
        <f ca="1">IFERROR(__xludf.DUMMYFUNCTION("""COMPUTED_VALUE"""),10010442)</f>
        <v>10010442</v>
      </c>
      <c r="B129" s="62" t="str">
        <f ca="1">IFERROR(__xludf.DUMMYFUNCTION("""COMPUTED_VALUE"""),"Pantalla Samsung S21FE con marco")</f>
        <v>Pantalla Samsung S21FE con marco</v>
      </c>
      <c r="C129" s="75">
        <f ca="1">IFERROR(__xludf.DUMMYFUNCTION("""COMPUTED_VALUE"""),690)</f>
        <v>690</v>
      </c>
      <c r="D129" s="75">
        <f ca="1">IFERROR(__xludf.DUMMYFUNCTION("""COMPUTED_VALUE"""),100)</f>
        <v>100</v>
      </c>
      <c r="E129" s="76">
        <f ca="1">IFERROR(__xludf.DUMMYFUNCTION("""COMPUTED_VALUE"""),790)</f>
        <v>790</v>
      </c>
      <c r="F129" s="77">
        <f ca="1">IFERROR(__xludf.DUMMYFUNCTION("""COMPUTED_VALUE"""),10010442)</f>
        <v>10010442</v>
      </c>
      <c r="G129" s="77" t="str">
        <f t="shared" ca="1" si="0"/>
        <v>si</v>
      </c>
    </row>
    <row r="130" spans="1:7" ht="12.75" x14ac:dyDescent="0.2">
      <c r="A130" s="62">
        <f ca="1">IFERROR(__xludf.DUMMYFUNCTION("""COMPUTED_VALUE"""),10010465)</f>
        <v>10010465</v>
      </c>
      <c r="B130" s="62" t="str">
        <f ca="1">IFERROR(__xludf.DUMMYFUNCTION("""COMPUTED_VALUE"""),"Pantalla Samsung S22 Ultra con marco")</f>
        <v>Pantalla Samsung S22 Ultra con marco</v>
      </c>
      <c r="C130" s="75">
        <f ca="1">IFERROR(__xludf.DUMMYFUNCTION("""COMPUTED_VALUE"""),1390)</f>
        <v>1390</v>
      </c>
      <c r="D130" s="75">
        <f ca="1">IFERROR(__xludf.DUMMYFUNCTION("""COMPUTED_VALUE"""),100)</f>
        <v>100</v>
      </c>
      <c r="E130" s="76">
        <f ca="1">IFERROR(__xludf.DUMMYFUNCTION("""COMPUTED_VALUE"""),1490)</f>
        <v>1490</v>
      </c>
      <c r="F130" s="77">
        <f ca="1">IFERROR(__xludf.DUMMYFUNCTION("""COMPUTED_VALUE"""),10010465)</f>
        <v>10010465</v>
      </c>
      <c r="G130" s="77" t="str">
        <f t="shared" ca="1" si="0"/>
        <v>si</v>
      </c>
    </row>
    <row r="131" spans="1:7" ht="12.75" x14ac:dyDescent="0.2">
      <c r="A131" s="62">
        <f ca="1">IFERROR(__xludf.DUMMYFUNCTION("""COMPUTED_VALUE"""),10010466)</f>
        <v>10010466</v>
      </c>
      <c r="B131" s="62" t="str">
        <f ca="1">IFERROR(__xludf.DUMMYFUNCTION("""COMPUTED_VALUE"""),"Pantalla Samsung S22  con marco")</f>
        <v>Pantalla Samsung S22  con marco</v>
      </c>
      <c r="C131" s="75">
        <f ca="1">IFERROR(__xludf.DUMMYFUNCTION("""COMPUTED_VALUE"""),1190)</f>
        <v>1190</v>
      </c>
      <c r="D131" s="75">
        <f ca="1">IFERROR(__xludf.DUMMYFUNCTION("""COMPUTED_VALUE"""),50)</f>
        <v>50</v>
      </c>
      <c r="E131" s="76">
        <f ca="1">IFERROR(__xludf.DUMMYFUNCTION("""COMPUTED_VALUE"""),1240)</f>
        <v>1240</v>
      </c>
      <c r="F131" s="77">
        <f ca="1">IFERROR(__xludf.DUMMYFUNCTION("""COMPUTED_VALUE"""),10010466)</f>
        <v>10010466</v>
      </c>
      <c r="G131" s="77" t="str">
        <f t="shared" ca="1" si="0"/>
        <v>si</v>
      </c>
    </row>
    <row r="132" spans="1:7" ht="12.75" x14ac:dyDescent="0.2">
      <c r="A132" s="62">
        <f ca="1">IFERROR(__xludf.DUMMYFUNCTION("""COMPUTED_VALUE"""),10010467)</f>
        <v>10010467</v>
      </c>
      <c r="B132" s="62" t="str">
        <f ca="1">IFERROR(__xludf.DUMMYFUNCTION("""COMPUTED_VALUE"""),"Pantalla Samsung A13 4G")</f>
        <v>Pantalla Samsung A13 4G</v>
      </c>
      <c r="C132" s="75">
        <f ca="1">IFERROR(__xludf.DUMMYFUNCTION("""COMPUTED_VALUE"""),240)</f>
        <v>240</v>
      </c>
      <c r="D132" s="75">
        <f ca="1">IFERROR(__xludf.DUMMYFUNCTION("""COMPUTED_VALUE"""),30)</f>
        <v>30</v>
      </c>
      <c r="E132" s="76">
        <f ca="1">IFERROR(__xludf.DUMMYFUNCTION("""COMPUTED_VALUE"""),270)</f>
        <v>270</v>
      </c>
      <c r="F132" s="77">
        <f ca="1">IFERROR(__xludf.DUMMYFUNCTION("""COMPUTED_VALUE"""),10010467)</f>
        <v>10010467</v>
      </c>
      <c r="G132" s="77" t="str">
        <f t="shared" ca="1" si="0"/>
        <v>si</v>
      </c>
    </row>
    <row r="133" spans="1:7" ht="12.75" x14ac:dyDescent="0.2">
      <c r="A133" s="62">
        <f ca="1">IFERROR(__xludf.DUMMYFUNCTION("""COMPUTED_VALUE"""),10010468)</f>
        <v>10010468</v>
      </c>
      <c r="B133" s="62" t="str">
        <f ca="1">IFERROR(__xludf.DUMMYFUNCTION("""COMPUTED_VALUE"""),"Pantalla Samsung Z Fold 2 con marco INTERNA")</f>
        <v>Pantalla Samsung Z Fold 2 con marco INTERNA</v>
      </c>
      <c r="C133" s="75">
        <f ca="1">IFERROR(__xludf.DUMMYFUNCTION("""COMPUTED_VALUE"""),3200)</f>
        <v>3200</v>
      </c>
      <c r="D133" s="75">
        <f ca="1">IFERROR(__xludf.DUMMYFUNCTION("""COMPUTED_VALUE"""),90)</f>
        <v>90</v>
      </c>
      <c r="E133" s="76">
        <f ca="1">IFERROR(__xludf.DUMMYFUNCTION("""COMPUTED_VALUE"""),3290)</f>
        <v>3290</v>
      </c>
      <c r="F133" s="77">
        <f ca="1">IFERROR(__xludf.DUMMYFUNCTION("""COMPUTED_VALUE"""),10010468)</f>
        <v>10010468</v>
      </c>
      <c r="G133" s="77" t="str">
        <f t="shared" ca="1" si="0"/>
        <v>si</v>
      </c>
    </row>
    <row r="134" spans="1:7" ht="12.75" x14ac:dyDescent="0.2">
      <c r="A134" s="62">
        <f ca="1">IFERROR(__xludf.DUMMYFUNCTION("""COMPUTED_VALUE"""),10010485)</f>
        <v>10010485</v>
      </c>
      <c r="B134" s="62" t="str">
        <f ca="1">IFERROR(__xludf.DUMMYFUNCTION("""COMPUTED_VALUE"""),"Pantalla Samsung A50S  Oled con marco")</f>
        <v>Pantalla Samsung A50S  Oled con marco</v>
      </c>
      <c r="C134" s="75">
        <f ca="1">IFERROR(__xludf.DUMMYFUNCTION("""COMPUTED_VALUE"""),290)</f>
        <v>290</v>
      </c>
      <c r="D134" s="75">
        <f ca="1">IFERROR(__xludf.DUMMYFUNCTION("""COMPUTED_VALUE"""),30)</f>
        <v>30</v>
      </c>
      <c r="E134" s="76">
        <f ca="1">IFERROR(__xludf.DUMMYFUNCTION("""COMPUTED_VALUE"""),320)</f>
        <v>320</v>
      </c>
      <c r="F134" s="77">
        <f ca="1">IFERROR(__xludf.DUMMYFUNCTION("""COMPUTED_VALUE"""),10010485)</f>
        <v>10010485</v>
      </c>
      <c r="G134" s="77" t="str">
        <f t="shared" ca="1" si="0"/>
        <v>si</v>
      </c>
    </row>
    <row r="135" spans="1:7" ht="12.75" x14ac:dyDescent="0.2">
      <c r="A135" s="62">
        <f ca="1">IFERROR(__xludf.DUMMYFUNCTION("""COMPUTED_VALUE"""),10010486)</f>
        <v>10010486</v>
      </c>
      <c r="B135" s="62" t="str">
        <f ca="1">IFERROR(__xludf.DUMMYFUNCTION("""COMPUTED_VALUE"""),"Pantalla Samsung M40 / A60 / A606")</f>
        <v>Pantalla Samsung M40 / A60 / A606</v>
      </c>
      <c r="C135" s="75">
        <f ca="1">IFERROR(__xludf.DUMMYFUNCTION("""COMPUTED_VALUE"""),180)</f>
        <v>180</v>
      </c>
      <c r="D135" s="75">
        <f ca="1">IFERROR(__xludf.DUMMYFUNCTION("""COMPUTED_VALUE"""),40)</f>
        <v>40</v>
      </c>
      <c r="E135" s="76">
        <f ca="1">IFERROR(__xludf.DUMMYFUNCTION("""COMPUTED_VALUE"""),220)</f>
        <v>220</v>
      </c>
      <c r="F135" s="77">
        <f ca="1">IFERROR(__xludf.DUMMYFUNCTION("""COMPUTED_VALUE"""),10010486)</f>
        <v>10010486</v>
      </c>
      <c r="G135" s="77" t="str">
        <f t="shared" ca="1" si="0"/>
        <v>si</v>
      </c>
    </row>
    <row r="136" spans="1:7" ht="12.75" x14ac:dyDescent="0.2">
      <c r="A136" s="62">
        <f ca="1">IFERROR(__xludf.DUMMYFUNCTION("""COMPUTED_VALUE"""),10010487)</f>
        <v>10010487</v>
      </c>
      <c r="B136" s="62" t="str">
        <f ca="1">IFERROR(__xludf.DUMMYFUNCTION("""COMPUTED_VALUE"""),"Pantalla Samsung M51 / M515F")</f>
        <v>Pantalla Samsung M51 / M515F</v>
      </c>
      <c r="C136" s="75">
        <f ca="1">IFERROR(__xludf.DUMMYFUNCTION("""COMPUTED_VALUE"""),350)</f>
        <v>350</v>
      </c>
      <c r="D136" s="75">
        <f ca="1">IFERROR(__xludf.DUMMYFUNCTION("""COMPUTED_VALUE"""),40)</f>
        <v>40</v>
      </c>
      <c r="E136" s="76">
        <f ca="1">IFERROR(__xludf.DUMMYFUNCTION("""COMPUTED_VALUE"""),390)</f>
        <v>390</v>
      </c>
      <c r="F136" s="77">
        <f ca="1">IFERROR(__xludf.DUMMYFUNCTION("""COMPUTED_VALUE"""),10010487)</f>
        <v>10010487</v>
      </c>
      <c r="G136" s="77" t="str">
        <f t="shared" ca="1" si="0"/>
        <v>si</v>
      </c>
    </row>
    <row r="137" spans="1:7" ht="12.75" x14ac:dyDescent="0.2">
      <c r="A137" s="62">
        <f ca="1">IFERROR(__xludf.DUMMYFUNCTION("""COMPUTED_VALUE"""),10010488)</f>
        <v>10010488</v>
      </c>
      <c r="B137" s="62" t="str">
        <f ca="1">IFERROR(__xludf.DUMMYFUNCTION("""COMPUTED_VALUE"""),"Pantalla Samsung S22  Plus con marco")</f>
        <v>Pantalla Samsung S22  Plus con marco</v>
      </c>
      <c r="C137" s="75">
        <f ca="1">IFERROR(__xludf.DUMMYFUNCTION("""COMPUTED_VALUE"""),1290)</f>
        <v>1290</v>
      </c>
      <c r="D137" s="75">
        <f ca="1">IFERROR(__xludf.DUMMYFUNCTION("""COMPUTED_VALUE"""),50)</f>
        <v>50</v>
      </c>
      <c r="E137" s="76">
        <f ca="1">IFERROR(__xludf.DUMMYFUNCTION("""COMPUTED_VALUE"""),1340)</f>
        <v>1340</v>
      </c>
      <c r="F137" s="77">
        <f ca="1">IFERROR(__xludf.DUMMYFUNCTION("""COMPUTED_VALUE"""),10010488)</f>
        <v>10010488</v>
      </c>
      <c r="G137" s="77" t="str">
        <f t="shared" ca="1" si="0"/>
        <v>si</v>
      </c>
    </row>
    <row r="138" spans="1:7" ht="12.75" x14ac:dyDescent="0.2">
      <c r="A138" s="62">
        <f ca="1">IFERROR(__xludf.DUMMYFUNCTION("""COMPUTED_VALUE"""),10010505)</f>
        <v>10010505</v>
      </c>
      <c r="B138" s="62" t="str">
        <f ca="1">IFERROR(__xludf.DUMMYFUNCTION("""COMPUTED_VALUE"""),"Pantalla Samsung T560")</f>
        <v>Pantalla Samsung T560</v>
      </c>
      <c r="C138" s="75">
        <f ca="1">IFERROR(__xludf.DUMMYFUNCTION("""COMPUTED_VALUE"""),250)</f>
        <v>250</v>
      </c>
      <c r="D138" s="75">
        <f ca="1">IFERROR(__xludf.DUMMYFUNCTION("""COMPUTED_VALUE"""),40)</f>
        <v>40</v>
      </c>
      <c r="E138" s="76">
        <f ca="1">IFERROR(__xludf.DUMMYFUNCTION("""COMPUTED_VALUE"""),290)</f>
        <v>290</v>
      </c>
      <c r="F138" s="77">
        <f ca="1">IFERROR(__xludf.DUMMYFUNCTION("""COMPUTED_VALUE"""),10010505)</f>
        <v>10010505</v>
      </c>
      <c r="G138" s="77" t="str">
        <f t="shared" ca="1" si="0"/>
        <v>si</v>
      </c>
    </row>
    <row r="139" spans="1:7" ht="12.75" x14ac:dyDescent="0.2">
      <c r="A139" s="62">
        <f ca="1">IFERROR(__xludf.DUMMYFUNCTION("""COMPUTED_VALUE"""),10010489)</f>
        <v>10010489</v>
      </c>
      <c r="B139" s="62" t="str">
        <f ca="1">IFERROR(__xludf.DUMMYFUNCTION("""COMPUTED_VALUE"""),"Pantalla LG V30 / V30 THINQ Original")</f>
        <v>Pantalla LG V30 / V30 THINQ Original</v>
      </c>
      <c r="C139" s="75">
        <f ca="1">IFERROR(__xludf.DUMMYFUNCTION("""COMPUTED_VALUE"""),290)</f>
        <v>290</v>
      </c>
      <c r="D139" s="75">
        <f ca="1">IFERROR(__xludf.DUMMYFUNCTION("""COMPUTED_VALUE"""),0)</f>
        <v>0</v>
      </c>
      <c r="E139" s="76">
        <f ca="1">IFERROR(__xludf.DUMMYFUNCTION("""COMPUTED_VALUE"""),290)</f>
        <v>290</v>
      </c>
      <c r="F139" s="77">
        <f ca="1">IFERROR(__xludf.DUMMYFUNCTION("""COMPUTED_VALUE"""),10010489)</f>
        <v>10010489</v>
      </c>
      <c r="G139" s="77" t="str">
        <f t="shared" ca="1" si="0"/>
        <v>si</v>
      </c>
    </row>
    <row r="140" spans="1:7" ht="12.75" x14ac:dyDescent="0.2">
      <c r="A140" s="62">
        <f ca="1">IFERROR(__xludf.DUMMYFUNCTION("""COMPUTED_VALUE"""),10010107)</f>
        <v>10010107</v>
      </c>
      <c r="B140" s="62" t="str">
        <f ca="1">IFERROR(__xludf.DUMMYFUNCTION("""COMPUTED_VALUE"""),"Pantalla LG G4 BeatOriginal")</f>
        <v>Pantalla LG G4 BeatOriginal</v>
      </c>
      <c r="C140" s="75">
        <f ca="1">IFERROR(__xludf.DUMMYFUNCTION("""COMPUTED_VALUE"""),70)</f>
        <v>70</v>
      </c>
      <c r="D140" s="75">
        <f ca="1">IFERROR(__xludf.DUMMYFUNCTION("""COMPUTED_VALUE"""),0)</f>
        <v>0</v>
      </c>
      <c r="E140" s="76">
        <f ca="1">IFERROR(__xludf.DUMMYFUNCTION("""COMPUTED_VALUE"""),70)</f>
        <v>70</v>
      </c>
      <c r="F140" s="77">
        <f ca="1">IFERROR(__xludf.DUMMYFUNCTION("""COMPUTED_VALUE"""),10010107)</f>
        <v>10010107</v>
      </c>
      <c r="G140" s="77" t="str">
        <f t="shared" ca="1" si="0"/>
        <v>si</v>
      </c>
    </row>
    <row r="141" spans="1:7" ht="12.75" x14ac:dyDescent="0.2">
      <c r="A141" s="62">
        <f ca="1">IFERROR(__xludf.DUMMYFUNCTION("""COMPUTED_VALUE"""),10010109)</f>
        <v>10010109</v>
      </c>
      <c r="B141" s="62" t="str">
        <f ca="1">IFERROR(__xludf.DUMMYFUNCTION("""COMPUTED_VALUE"""),"Pantalla LG G5 / G5SE Original")</f>
        <v>Pantalla LG G5 / G5SE Original</v>
      </c>
      <c r="C141" s="75">
        <f ca="1">IFERROR(__xludf.DUMMYFUNCTION("""COMPUTED_VALUE"""),100)</f>
        <v>100</v>
      </c>
      <c r="D141" s="75">
        <f ca="1">IFERROR(__xludf.DUMMYFUNCTION("""COMPUTED_VALUE"""),0)</f>
        <v>0</v>
      </c>
      <c r="E141" s="76">
        <f ca="1">IFERROR(__xludf.DUMMYFUNCTION("""COMPUTED_VALUE"""),100)</f>
        <v>100</v>
      </c>
      <c r="F141" s="77">
        <f ca="1">IFERROR(__xludf.DUMMYFUNCTION("""COMPUTED_VALUE"""),10010109)</f>
        <v>10010109</v>
      </c>
      <c r="G141" s="77" t="str">
        <f t="shared" ca="1" si="0"/>
        <v>si</v>
      </c>
    </row>
    <row r="142" spans="1:7" ht="12.75" x14ac:dyDescent="0.2">
      <c r="A142" s="62">
        <f ca="1">IFERROR(__xludf.DUMMYFUNCTION("""COMPUTED_VALUE"""),10010110)</f>
        <v>10010110</v>
      </c>
      <c r="B142" s="62" t="str">
        <f ca="1">IFERROR(__xludf.DUMMYFUNCTION("""COMPUTED_VALUE"""),"Pantalla LG G6 (G6 PLUS) Original")</f>
        <v>Pantalla LG G6 (G6 PLUS) Original</v>
      </c>
      <c r="C142" s="75">
        <f ca="1">IFERROR(__xludf.DUMMYFUNCTION("""COMPUTED_VALUE"""),160)</f>
        <v>160</v>
      </c>
      <c r="D142" s="75">
        <f ca="1">IFERROR(__xludf.DUMMYFUNCTION("""COMPUTED_VALUE"""),0)</f>
        <v>0</v>
      </c>
      <c r="E142" s="76">
        <f ca="1">IFERROR(__xludf.DUMMYFUNCTION("""COMPUTED_VALUE"""),160)</f>
        <v>160</v>
      </c>
      <c r="F142" s="77">
        <f ca="1">IFERROR(__xludf.DUMMYFUNCTION("""COMPUTED_VALUE"""),10010110)</f>
        <v>10010110</v>
      </c>
      <c r="G142" s="77" t="str">
        <f t="shared" ca="1" si="0"/>
        <v>si</v>
      </c>
    </row>
    <row r="143" spans="1:7" ht="12.75" x14ac:dyDescent="0.2">
      <c r="A143" s="62">
        <f ca="1">IFERROR(__xludf.DUMMYFUNCTION("""COMPUTED_VALUE"""),10010111)</f>
        <v>10010111</v>
      </c>
      <c r="B143" s="62" t="str">
        <f ca="1">IFERROR(__xludf.DUMMYFUNCTION("""COMPUTED_VALUE"""),"Pantalla LG G7 / G7 thinq Original")</f>
        <v>Pantalla LG G7 / G7 thinq Original</v>
      </c>
      <c r="C143" s="75">
        <f ca="1">IFERROR(__xludf.DUMMYFUNCTION("""COMPUTED_VALUE"""),200)</f>
        <v>200</v>
      </c>
      <c r="D143" s="75">
        <f ca="1">IFERROR(__xludf.DUMMYFUNCTION("""COMPUTED_VALUE"""),0)</f>
        <v>0</v>
      </c>
      <c r="E143" s="76">
        <f ca="1">IFERROR(__xludf.DUMMYFUNCTION("""COMPUTED_VALUE"""),200)</f>
        <v>200</v>
      </c>
      <c r="F143" s="77">
        <f ca="1">IFERROR(__xludf.DUMMYFUNCTION("""COMPUTED_VALUE"""),10010111)</f>
        <v>10010111</v>
      </c>
      <c r="G143" s="77" t="str">
        <f t="shared" ca="1" si="0"/>
        <v>si</v>
      </c>
    </row>
    <row r="144" spans="1:7" ht="12.75" x14ac:dyDescent="0.2">
      <c r="A144" s="62">
        <f ca="1">IFERROR(__xludf.DUMMYFUNCTION("""COMPUTED_VALUE"""),10010114)</f>
        <v>10010114</v>
      </c>
      <c r="B144" s="62" t="str">
        <f ca="1">IFERROR(__xludf.DUMMYFUNCTION("""COMPUTED_VALUE"""),"Pantalla LG G8X Thinq Original")</f>
        <v>Pantalla LG G8X Thinq Original</v>
      </c>
      <c r="C144" s="75">
        <f ca="1">IFERROR(__xludf.DUMMYFUNCTION("""COMPUTED_VALUE"""),310)</f>
        <v>310</v>
      </c>
      <c r="D144" s="75">
        <f ca="1">IFERROR(__xludf.DUMMYFUNCTION("""COMPUTED_VALUE"""),0)</f>
        <v>0</v>
      </c>
      <c r="E144" s="76">
        <f ca="1">IFERROR(__xludf.DUMMYFUNCTION("""COMPUTED_VALUE"""),310)</f>
        <v>310</v>
      </c>
      <c r="F144" s="77">
        <f ca="1">IFERROR(__xludf.DUMMYFUNCTION("""COMPUTED_VALUE"""),10010114)</f>
        <v>10010114</v>
      </c>
      <c r="G144" s="77" t="str">
        <f t="shared" ca="1" si="0"/>
        <v>si</v>
      </c>
    </row>
    <row r="145" spans="1:7" ht="12.75" x14ac:dyDescent="0.2">
      <c r="A145" s="62">
        <f ca="1">IFERROR(__xludf.DUMMYFUNCTION("""COMPUTED_VALUE"""),10010112)</f>
        <v>10010112</v>
      </c>
      <c r="B145" s="62" t="str">
        <f ca="1">IFERROR(__xludf.DUMMYFUNCTION("""COMPUTED_VALUE"""),"Pantalla LG G8 THINQ Original")</f>
        <v>Pantalla LG G8 THINQ Original</v>
      </c>
      <c r="C145" s="75">
        <f ca="1">IFERROR(__xludf.DUMMYFUNCTION("""COMPUTED_VALUE"""),530)</f>
        <v>530</v>
      </c>
      <c r="D145" s="75">
        <f ca="1">IFERROR(__xludf.DUMMYFUNCTION("""COMPUTED_VALUE"""),0)</f>
        <v>0</v>
      </c>
      <c r="E145" s="76">
        <f ca="1">IFERROR(__xludf.DUMMYFUNCTION("""COMPUTED_VALUE"""),530)</f>
        <v>530</v>
      </c>
      <c r="F145" s="77">
        <f ca="1">IFERROR(__xludf.DUMMYFUNCTION("""COMPUTED_VALUE"""),10010112)</f>
        <v>10010112</v>
      </c>
      <c r="G145" s="77" t="str">
        <f t="shared" ca="1" si="0"/>
        <v>si</v>
      </c>
    </row>
    <row r="146" spans="1:7" ht="12.75" x14ac:dyDescent="0.2">
      <c r="A146" s="62">
        <f ca="1">IFERROR(__xludf.DUMMYFUNCTION("""COMPUTED_VALUE"""),10010113)</f>
        <v>10010113</v>
      </c>
      <c r="B146" s="62" t="str">
        <f ca="1">IFERROR(__xludf.DUMMYFUNCTION("""COMPUTED_VALUE"""),"Pantalla LG G8S THINQ Original")</f>
        <v>Pantalla LG G8S THINQ Original</v>
      </c>
      <c r="C146" s="75">
        <f ca="1">IFERROR(__xludf.DUMMYFUNCTION("""COMPUTED_VALUE"""),260)</f>
        <v>260</v>
      </c>
      <c r="D146" s="75">
        <f ca="1">IFERROR(__xludf.DUMMYFUNCTION("""COMPUTED_VALUE"""),0)</f>
        <v>0</v>
      </c>
      <c r="E146" s="76">
        <f ca="1">IFERROR(__xludf.DUMMYFUNCTION("""COMPUTED_VALUE"""),260)</f>
        <v>260</v>
      </c>
      <c r="F146" s="77">
        <f ca="1">IFERROR(__xludf.DUMMYFUNCTION("""COMPUTED_VALUE"""),10010113)</f>
        <v>10010113</v>
      </c>
      <c r="G146" s="77" t="str">
        <f t="shared" ca="1" si="0"/>
        <v>si</v>
      </c>
    </row>
    <row r="147" spans="1:7" ht="12.75" x14ac:dyDescent="0.2">
      <c r="A147" s="62">
        <f ca="1">IFERROR(__xludf.DUMMYFUNCTION("""COMPUTED_VALUE"""),10010121)</f>
        <v>10010121</v>
      </c>
      <c r="B147" s="62" t="str">
        <f ca="1">IFERROR(__xludf.DUMMYFUNCTION("""COMPUTED_VALUE"""),"Pantalla LG K5 (x220) Original")</f>
        <v>Pantalla LG K5 (x220) Original</v>
      </c>
      <c r="C147" s="75">
        <f ca="1">IFERROR(__xludf.DUMMYFUNCTION("""COMPUTED_VALUE"""),70)</f>
        <v>70</v>
      </c>
      <c r="D147" s="75">
        <f ca="1">IFERROR(__xludf.DUMMYFUNCTION("""COMPUTED_VALUE"""),0)</f>
        <v>0</v>
      </c>
      <c r="E147" s="76">
        <f ca="1">IFERROR(__xludf.DUMMYFUNCTION("""COMPUTED_VALUE"""),70)</f>
        <v>70</v>
      </c>
      <c r="F147" s="77">
        <f ca="1">IFERROR(__xludf.DUMMYFUNCTION("""COMPUTED_VALUE"""),10010121)</f>
        <v>10010121</v>
      </c>
      <c r="G147" s="77" t="str">
        <f t="shared" ca="1" si="0"/>
        <v>si</v>
      </c>
    </row>
    <row r="148" spans="1:7" ht="12.75" x14ac:dyDescent="0.2">
      <c r="A148" s="62">
        <f ca="1">IFERROR(__xludf.DUMMYFUNCTION("""COMPUTED_VALUE"""),10010125)</f>
        <v>10010125</v>
      </c>
      <c r="B148" s="62" t="str">
        <f ca="1">IFERROR(__xludf.DUMMYFUNCTION("""COMPUTED_VALUE"""),"Pantalla LG K8 con marco Original")</f>
        <v>Pantalla LG K8 con marco Original</v>
      </c>
      <c r="C148" s="75">
        <f ca="1">IFERROR(__xludf.DUMMYFUNCTION("""COMPUTED_VALUE"""),120)</f>
        <v>120</v>
      </c>
      <c r="D148" s="75">
        <f ca="1">IFERROR(__xludf.DUMMYFUNCTION("""COMPUTED_VALUE"""),0)</f>
        <v>0</v>
      </c>
      <c r="E148" s="76">
        <f ca="1">IFERROR(__xludf.DUMMYFUNCTION("""COMPUTED_VALUE"""),120)</f>
        <v>120</v>
      </c>
      <c r="F148" s="77">
        <f ca="1">IFERROR(__xludf.DUMMYFUNCTION("""COMPUTED_VALUE"""),10010125)</f>
        <v>10010125</v>
      </c>
      <c r="G148" s="77" t="str">
        <f t="shared" ca="1" si="0"/>
        <v>si</v>
      </c>
    </row>
    <row r="149" spans="1:7" ht="12.75" x14ac:dyDescent="0.2">
      <c r="A149" s="62">
        <f ca="1">IFERROR(__xludf.DUMMYFUNCTION("""COMPUTED_VALUE"""),10010124)</f>
        <v>10010124</v>
      </c>
      <c r="B149" s="62" t="str">
        <f ca="1">IFERROR(__xludf.DUMMYFUNCTION("""COMPUTED_VALUE"""),"Pantalla LG K8 2017 - Aristo M210 Original")</f>
        <v>Pantalla LG K8 2017 - Aristo M210 Original</v>
      </c>
      <c r="C149" s="75">
        <f ca="1">IFERROR(__xludf.DUMMYFUNCTION("""COMPUTED_VALUE"""),90)</f>
        <v>90</v>
      </c>
      <c r="D149" s="75">
        <f ca="1">IFERROR(__xludf.DUMMYFUNCTION("""COMPUTED_VALUE"""),0)</f>
        <v>0</v>
      </c>
      <c r="E149" s="76">
        <f ca="1">IFERROR(__xludf.DUMMYFUNCTION("""COMPUTED_VALUE"""),90)</f>
        <v>90</v>
      </c>
      <c r="F149" s="77">
        <f ca="1">IFERROR(__xludf.DUMMYFUNCTION("""COMPUTED_VALUE"""),10010124)</f>
        <v>10010124</v>
      </c>
      <c r="G149" s="77" t="str">
        <f t="shared" ca="1" si="0"/>
        <v>si</v>
      </c>
    </row>
    <row r="150" spans="1:7" ht="12.75" x14ac:dyDescent="0.2">
      <c r="A150" s="62">
        <f ca="1">IFERROR(__xludf.DUMMYFUNCTION("""COMPUTED_VALUE"""),10010126)</f>
        <v>10010126</v>
      </c>
      <c r="B150" s="62" t="str">
        <f ca="1">IFERROR(__xludf.DUMMYFUNCTION("""COMPUTED_VALUE"""),"Pantalla LG K9 (K8 2018) Original")</f>
        <v>Pantalla LG K9 (K8 2018) Original</v>
      </c>
      <c r="C150" s="75">
        <f ca="1">IFERROR(__xludf.DUMMYFUNCTION("""COMPUTED_VALUE"""),90)</f>
        <v>90</v>
      </c>
      <c r="D150" s="75">
        <f ca="1">IFERROR(__xludf.DUMMYFUNCTION("""COMPUTED_VALUE"""),0)</f>
        <v>0</v>
      </c>
      <c r="E150" s="76">
        <f ca="1">IFERROR(__xludf.DUMMYFUNCTION("""COMPUTED_VALUE"""),90)</f>
        <v>90</v>
      </c>
      <c r="F150" s="77">
        <f ca="1">IFERROR(__xludf.DUMMYFUNCTION("""COMPUTED_VALUE"""),10010126)</f>
        <v>10010126</v>
      </c>
      <c r="G150" s="77" t="str">
        <f t="shared" ca="1" si="0"/>
        <v>si</v>
      </c>
    </row>
    <row r="151" spans="1:7" ht="12.75" x14ac:dyDescent="0.2">
      <c r="A151" s="62">
        <f ca="1">IFERROR(__xludf.DUMMYFUNCTION("""COMPUTED_VALUE"""),10010127)</f>
        <v>10010127</v>
      </c>
      <c r="B151" s="62" t="str">
        <f ca="1">IFERROR(__xludf.DUMMYFUNCTION("""COMPUTED_VALUE"""),"Pantalla LG K9 (x210) Original")</f>
        <v>Pantalla LG K9 (x210) Original</v>
      </c>
      <c r="C151" s="75">
        <f ca="1">IFERROR(__xludf.DUMMYFUNCTION("""COMPUTED_VALUE"""),90)</f>
        <v>90</v>
      </c>
      <c r="D151" s="75">
        <f ca="1">IFERROR(__xludf.DUMMYFUNCTION("""COMPUTED_VALUE"""),0)</f>
        <v>0</v>
      </c>
      <c r="E151" s="76">
        <f ca="1">IFERROR(__xludf.DUMMYFUNCTION("""COMPUTED_VALUE"""),90)</f>
        <v>90</v>
      </c>
      <c r="F151" s="77">
        <f ca="1">IFERROR(__xludf.DUMMYFUNCTION("""COMPUTED_VALUE"""),10010127)</f>
        <v>10010127</v>
      </c>
      <c r="G151" s="77" t="str">
        <f t="shared" ca="1" si="0"/>
        <v>si</v>
      </c>
    </row>
    <row r="152" spans="1:7" ht="12.75" x14ac:dyDescent="0.2">
      <c r="A152" s="62">
        <f ca="1">IFERROR(__xludf.DUMMYFUNCTION("""COMPUTED_VALUE"""),10010116)</f>
        <v>10010116</v>
      </c>
      <c r="B152" s="62" t="str">
        <f ca="1">IFERROR(__xludf.DUMMYFUNCTION("""COMPUTED_VALUE"""),"Pantalla LG K10 Original")</f>
        <v>Pantalla LG K10 Original</v>
      </c>
      <c r="C152" s="75">
        <f ca="1">IFERROR(__xludf.DUMMYFUNCTION("""COMPUTED_VALUE"""),100)</f>
        <v>100</v>
      </c>
      <c r="D152" s="75">
        <f ca="1">IFERROR(__xludf.DUMMYFUNCTION("""COMPUTED_VALUE"""),0)</f>
        <v>0</v>
      </c>
      <c r="E152" s="76">
        <f ca="1">IFERROR(__xludf.DUMMYFUNCTION("""COMPUTED_VALUE"""),100)</f>
        <v>100</v>
      </c>
      <c r="F152" s="77">
        <f ca="1">IFERROR(__xludf.DUMMYFUNCTION("""COMPUTED_VALUE"""),10010116)</f>
        <v>10010116</v>
      </c>
      <c r="G152" s="77" t="str">
        <f t="shared" ca="1" si="0"/>
        <v>si</v>
      </c>
    </row>
    <row r="153" spans="1:7" ht="12.75" x14ac:dyDescent="0.2">
      <c r="A153" s="62">
        <f ca="1">IFERROR(__xludf.DUMMYFUNCTION("""COMPUTED_VALUE"""),10010115)</f>
        <v>10010115</v>
      </c>
      <c r="B153" s="62" t="str">
        <f ca="1">IFERROR(__xludf.DUMMYFUNCTION("""COMPUTED_VALUE"""),"Pantalla LG K10 2017 Original")</f>
        <v>Pantalla LG K10 2017 Original</v>
      </c>
      <c r="C153" s="75">
        <f ca="1">IFERROR(__xludf.DUMMYFUNCTION("""COMPUTED_VALUE"""),100)</f>
        <v>100</v>
      </c>
      <c r="D153" s="75">
        <f ca="1">IFERROR(__xludf.DUMMYFUNCTION("""COMPUTED_VALUE"""),0)</f>
        <v>0</v>
      </c>
      <c r="E153" s="76">
        <f ca="1">IFERROR(__xludf.DUMMYFUNCTION("""COMPUTED_VALUE"""),100)</f>
        <v>100</v>
      </c>
      <c r="F153" s="77">
        <f ca="1">IFERROR(__xludf.DUMMYFUNCTION("""COMPUTED_VALUE"""),10010115)</f>
        <v>10010115</v>
      </c>
      <c r="G153" s="77" t="str">
        <f t="shared" ca="1" si="0"/>
        <v>si</v>
      </c>
    </row>
    <row r="154" spans="1:7" ht="12.75" x14ac:dyDescent="0.2">
      <c r="A154" s="62">
        <f ca="1">IFERROR(__xludf.DUMMYFUNCTION("""COMPUTED_VALUE"""),10010117)</f>
        <v>10010117</v>
      </c>
      <c r="B154" s="62" t="str">
        <f ca="1">IFERROR(__xludf.DUMMYFUNCTION("""COMPUTED_VALUE"""),"Pantalla LG K11  (K11 PLUS) - K30 Original")</f>
        <v>Pantalla LG K11  (K11 PLUS) - K30 Original</v>
      </c>
      <c r="C154" s="75">
        <f ca="1">IFERROR(__xludf.DUMMYFUNCTION("""COMPUTED_VALUE"""),100)</f>
        <v>100</v>
      </c>
      <c r="D154" s="75">
        <f ca="1">IFERROR(__xludf.DUMMYFUNCTION("""COMPUTED_VALUE"""),0)</f>
        <v>0</v>
      </c>
      <c r="E154" s="76">
        <f ca="1">IFERROR(__xludf.DUMMYFUNCTION("""COMPUTED_VALUE"""),100)</f>
        <v>100</v>
      </c>
      <c r="F154" s="77">
        <f ca="1">IFERROR(__xludf.DUMMYFUNCTION("""COMPUTED_VALUE"""),10010117)</f>
        <v>10010117</v>
      </c>
      <c r="G154" s="77" t="str">
        <f t="shared" ca="1" si="0"/>
        <v>si</v>
      </c>
    </row>
    <row r="155" spans="1:7" ht="12.75" x14ac:dyDescent="0.2">
      <c r="A155" s="62">
        <f ca="1">IFERROR(__xludf.DUMMYFUNCTION("""COMPUTED_VALUE"""),10010118)</f>
        <v>10010118</v>
      </c>
      <c r="B155" s="62" t="str">
        <f ca="1">IFERROR(__xludf.DUMMYFUNCTION("""COMPUTED_VALUE"""),"Pantalla LG K20 LMX120HM Original")</f>
        <v>Pantalla LG K20 LMX120HM Original</v>
      </c>
      <c r="C155" s="75">
        <f ca="1">IFERROR(__xludf.DUMMYFUNCTION("""COMPUTED_VALUE"""),120)</f>
        <v>120</v>
      </c>
      <c r="D155" s="75">
        <f ca="1">IFERROR(__xludf.DUMMYFUNCTION("""COMPUTED_VALUE"""),0)</f>
        <v>0</v>
      </c>
      <c r="E155" s="76">
        <f ca="1">IFERROR(__xludf.DUMMYFUNCTION("""COMPUTED_VALUE"""),120)</f>
        <v>120</v>
      </c>
      <c r="F155" s="77">
        <f ca="1">IFERROR(__xludf.DUMMYFUNCTION("""COMPUTED_VALUE"""),10010118)</f>
        <v>10010118</v>
      </c>
      <c r="G155" s="77" t="str">
        <f t="shared" ca="1" si="0"/>
        <v>si</v>
      </c>
    </row>
    <row r="156" spans="1:7" ht="12.75" x14ac:dyDescent="0.2">
      <c r="A156" s="62">
        <f ca="1">IFERROR(__xludf.DUMMYFUNCTION("""COMPUTED_VALUE"""),10010119)</f>
        <v>10010119</v>
      </c>
      <c r="B156" s="62" t="str">
        <f ca="1">IFERROR(__xludf.DUMMYFUNCTION("""COMPUTED_VALUE"""),"Pantalla LG K40 Original")</f>
        <v>Pantalla LG K40 Original</v>
      </c>
      <c r="C156" s="75">
        <f ca="1">IFERROR(__xludf.DUMMYFUNCTION("""COMPUTED_VALUE"""),100)</f>
        <v>100</v>
      </c>
      <c r="D156" s="75">
        <f ca="1">IFERROR(__xludf.DUMMYFUNCTION("""COMPUTED_VALUE"""),0)</f>
        <v>0</v>
      </c>
      <c r="E156" s="76">
        <f ca="1">IFERROR(__xludf.DUMMYFUNCTION("""COMPUTED_VALUE"""),100)</f>
        <v>100</v>
      </c>
      <c r="F156" s="77">
        <f ca="1">IFERROR(__xludf.DUMMYFUNCTION("""COMPUTED_VALUE"""),10010119)</f>
        <v>10010119</v>
      </c>
      <c r="G156" s="77" t="str">
        <f t="shared" ca="1" si="0"/>
        <v>si</v>
      </c>
    </row>
    <row r="157" spans="1:7" ht="12.75" x14ac:dyDescent="0.2">
      <c r="A157" s="62">
        <f ca="1">IFERROR(__xludf.DUMMYFUNCTION("""COMPUTED_VALUE"""),10010498)</f>
        <v>10010498</v>
      </c>
      <c r="B157" s="62" t="str">
        <f ca="1">IFERROR(__xludf.DUMMYFUNCTION("""COMPUTED_VALUE"""),"Pantalla LG K41")</f>
        <v>Pantalla LG K41</v>
      </c>
      <c r="C157" s="75">
        <f ca="1">IFERROR(__xludf.DUMMYFUNCTION("""COMPUTED_VALUE"""),140)</f>
        <v>140</v>
      </c>
      <c r="D157" s="75">
        <f ca="1">IFERROR(__xludf.DUMMYFUNCTION("""COMPUTED_VALUE"""),0)</f>
        <v>0</v>
      </c>
      <c r="E157" s="76">
        <f ca="1">IFERROR(__xludf.DUMMYFUNCTION("""COMPUTED_VALUE"""),140)</f>
        <v>140</v>
      </c>
      <c r="F157" s="77">
        <f ca="1">IFERROR(__xludf.DUMMYFUNCTION("""COMPUTED_VALUE"""),10010498)</f>
        <v>10010498</v>
      </c>
      <c r="G157" s="77" t="str">
        <f t="shared" ca="1" si="0"/>
        <v>si</v>
      </c>
    </row>
    <row r="158" spans="1:7" ht="12.75" x14ac:dyDescent="0.2">
      <c r="A158" s="62">
        <f ca="1">IFERROR(__xludf.DUMMYFUNCTION("""COMPUTED_VALUE"""),10010499)</f>
        <v>10010499</v>
      </c>
      <c r="B158" s="62" t="str">
        <f ca="1">IFERROR(__xludf.DUMMYFUNCTION("""COMPUTED_VALUE"""),"Pantalla LG K61")</f>
        <v>Pantalla LG K61</v>
      </c>
      <c r="C158" s="75">
        <f ca="1">IFERROR(__xludf.DUMMYFUNCTION("""COMPUTED_VALUE"""),160)</f>
        <v>160</v>
      </c>
      <c r="D158" s="75">
        <f ca="1">IFERROR(__xludf.DUMMYFUNCTION("""COMPUTED_VALUE"""),0)</f>
        <v>0</v>
      </c>
      <c r="E158" s="76">
        <f ca="1">IFERROR(__xludf.DUMMYFUNCTION("""COMPUTED_VALUE"""),160)</f>
        <v>160</v>
      </c>
      <c r="F158" s="77">
        <f ca="1">IFERROR(__xludf.DUMMYFUNCTION("""COMPUTED_VALUE"""),10010499)</f>
        <v>10010499</v>
      </c>
      <c r="G158" s="77" t="str">
        <f t="shared" ca="1" si="0"/>
        <v>si</v>
      </c>
    </row>
    <row r="159" spans="1:7" ht="12.75" x14ac:dyDescent="0.2">
      <c r="A159" s="62">
        <f ca="1">IFERROR(__xludf.DUMMYFUNCTION("""COMPUTED_VALUE"""),10010122)</f>
        <v>10010122</v>
      </c>
      <c r="B159" s="62" t="str">
        <f ca="1">IFERROR(__xludf.DUMMYFUNCTION("""COMPUTED_VALUE"""),"Pantalla LG K50 Original")</f>
        <v>Pantalla LG K50 Original</v>
      </c>
      <c r="C159" s="75">
        <f ca="1">IFERROR(__xludf.DUMMYFUNCTION("""COMPUTED_VALUE"""),100)</f>
        <v>100</v>
      </c>
      <c r="D159" s="75">
        <f ca="1">IFERROR(__xludf.DUMMYFUNCTION("""COMPUTED_VALUE"""),0)</f>
        <v>0</v>
      </c>
      <c r="E159" s="76">
        <f ca="1">IFERROR(__xludf.DUMMYFUNCTION("""COMPUTED_VALUE"""),100)</f>
        <v>100</v>
      </c>
      <c r="F159" s="77">
        <f ca="1">IFERROR(__xludf.DUMMYFUNCTION("""COMPUTED_VALUE"""),10010122)</f>
        <v>10010122</v>
      </c>
      <c r="G159" s="77" t="str">
        <f t="shared" ca="1" si="0"/>
        <v>si</v>
      </c>
    </row>
    <row r="160" spans="1:7" ht="12.75" x14ac:dyDescent="0.2">
      <c r="A160" s="62">
        <f ca="1">IFERROR(__xludf.DUMMYFUNCTION("""COMPUTED_VALUE"""),10010120)</f>
        <v>10010120</v>
      </c>
      <c r="B160" s="62" t="str">
        <f ca="1">IFERROR(__xludf.DUMMYFUNCTION("""COMPUTED_VALUE"""),"Pantalla LG K40S Original")</f>
        <v>Pantalla LG K40S Original</v>
      </c>
      <c r="C160" s="75">
        <f ca="1">IFERROR(__xludf.DUMMYFUNCTION("""COMPUTED_VALUE"""),110)</f>
        <v>110</v>
      </c>
      <c r="D160" s="75">
        <f ca="1">IFERROR(__xludf.DUMMYFUNCTION("""COMPUTED_VALUE"""),0)</f>
        <v>0</v>
      </c>
      <c r="E160" s="76">
        <f ca="1">IFERROR(__xludf.DUMMYFUNCTION("""COMPUTED_VALUE"""),110)</f>
        <v>110</v>
      </c>
      <c r="F160" s="77">
        <f ca="1">IFERROR(__xludf.DUMMYFUNCTION("""COMPUTED_VALUE"""),10010120)</f>
        <v>10010120</v>
      </c>
      <c r="G160" s="77" t="str">
        <f t="shared" ca="1" si="0"/>
        <v>si</v>
      </c>
    </row>
    <row r="161" spans="1:7" ht="12.75" x14ac:dyDescent="0.2">
      <c r="A161" s="62">
        <f ca="1">IFERROR(__xludf.DUMMYFUNCTION("""COMPUTED_VALUE"""),10010123)</f>
        <v>10010123</v>
      </c>
      <c r="B161" s="62" t="str">
        <f ca="1">IFERROR(__xludf.DUMMYFUNCTION("""COMPUTED_VALUE"""),"Pantalla LG K50S Original")</f>
        <v>Pantalla LG K50S Original</v>
      </c>
      <c r="C161" s="75">
        <f ca="1">IFERROR(__xludf.DUMMYFUNCTION("""COMPUTED_VALUE"""),120)</f>
        <v>120</v>
      </c>
      <c r="D161" s="75">
        <f ca="1">IFERROR(__xludf.DUMMYFUNCTION("""COMPUTED_VALUE"""),0)</f>
        <v>0</v>
      </c>
      <c r="E161" s="76">
        <f ca="1">IFERROR(__xludf.DUMMYFUNCTION("""COMPUTED_VALUE"""),120)</f>
        <v>120</v>
      </c>
      <c r="F161" s="77">
        <f ca="1">IFERROR(__xludf.DUMMYFUNCTION("""COMPUTED_VALUE"""),10010123)</f>
        <v>10010123</v>
      </c>
      <c r="G161" s="77" t="str">
        <f t="shared" ca="1" si="0"/>
        <v>si</v>
      </c>
    </row>
    <row r="162" spans="1:7" ht="12.75" x14ac:dyDescent="0.2">
      <c r="A162" s="62">
        <f ca="1">IFERROR(__xludf.DUMMYFUNCTION("""COMPUTED_VALUE"""),10010129)</f>
        <v>10010129</v>
      </c>
      <c r="B162" s="62" t="str">
        <f ca="1">IFERROR(__xludf.DUMMYFUNCTION("""COMPUTED_VALUE"""),"Pantalla LG Q6 Original")</f>
        <v>Pantalla LG Q6 Original</v>
      </c>
      <c r="C162" s="75">
        <f ca="1">IFERROR(__xludf.DUMMYFUNCTION("""COMPUTED_VALUE"""),120)</f>
        <v>120</v>
      </c>
      <c r="D162" s="75">
        <f ca="1">IFERROR(__xludf.DUMMYFUNCTION("""COMPUTED_VALUE"""),0)</f>
        <v>0</v>
      </c>
      <c r="E162" s="76">
        <f ca="1">IFERROR(__xludf.DUMMYFUNCTION("""COMPUTED_VALUE"""),120)</f>
        <v>120</v>
      </c>
      <c r="F162" s="77">
        <f ca="1">IFERROR(__xludf.DUMMYFUNCTION("""COMPUTED_VALUE"""),10010129)</f>
        <v>10010129</v>
      </c>
      <c r="G162" s="77" t="str">
        <f t="shared" ca="1" si="0"/>
        <v>si</v>
      </c>
    </row>
    <row r="163" spans="1:7" ht="12.75" x14ac:dyDescent="0.2">
      <c r="A163" s="62">
        <f ca="1">IFERROR(__xludf.DUMMYFUNCTION("""COMPUTED_VALUE"""),10010130)</f>
        <v>10010130</v>
      </c>
      <c r="B163" s="62" t="str">
        <f ca="1">IFERROR(__xludf.DUMMYFUNCTION("""COMPUTED_VALUE"""),"Pantalla LG Q60 Original")</f>
        <v>Pantalla LG Q60 Original</v>
      </c>
      <c r="C163" s="75">
        <f ca="1">IFERROR(__xludf.DUMMYFUNCTION("""COMPUTED_VALUE"""),100)</f>
        <v>100</v>
      </c>
      <c r="D163" s="75">
        <f ca="1">IFERROR(__xludf.DUMMYFUNCTION("""COMPUTED_VALUE"""),0)</f>
        <v>0</v>
      </c>
      <c r="E163" s="76">
        <f ca="1">IFERROR(__xludf.DUMMYFUNCTION("""COMPUTED_VALUE"""),100)</f>
        <v>100</v>
      </c>
      <c r="F163" s="77">
        <f ca="1">IFERROR(__xludf.DUMMYFUNCTION("""COMPUTED_VALUE"""),10010130)</f>
        <v>10010130</v>
      </c>
      <c r="G163" s="77" t="str">
        <f t="shared" ca="1" si="0"/>
        <v>si</v>
      </c>
    </row>
    <row r="164" spans="1:7" ht="12.75" x14ac:dyDescent="0.2">
      <c r="A164" s="62">
        <f ca="1">IFERROR(__xludf.DUMMYFUNCTION("""COMPUTED_VALUE"""),10010128)</f>
        <v>10010128</v>
      </c>
      <c r="B164" s="62" t="str">
        <f ca="1">IFERROR(__xludf.DUMMYFUNCTION("""COMPUTED_VALUE"""),"Pantalla LG Leon Original")</f>
        <v>Pantalla LG Leon Original</v>
      </c>
      <c r="C164" s="75">
        <f ca="1">IFERROR(__xludf.DUMMYFUNCTION("""COMPUTED_VALUE"""),60)</f>
        <v>60</v>
      </c>
      <c r="D164" s="75">
        <f ca="1">IFERROR(__xludf.DUMMYFUNCTION("""COMPUTED_VALUE"""),0)</f>
        <v>0</v>
      </c>
      <c r="E164" s="76">
        <f ca="1">IFERROR(__xludf.DUMMYFUNCTION("""COMPUTED_VALUE"""),60)</f>
        <v>60</v>
      </c>
      <c r="F164" s="77">
        <f ca="1">IFERROR(__xludf.DUMMYFUNCTION("""COMPUTED_VALUE"""),10010128)</f>
        <v>10010128</v>
      </c>
      <c r="G164" s="77" t="str">
        <f t="shared" ca="1" si="0"/>
        <v>si</v>
      </c>
    </row>
    <row r="165" spans="1:7" ht="12.75" x14ac:dyDescent="0.2">
      <c r="A165" s="62">
        <f ca="1">IFERROR(__xludf.DUMMYFUNCTION("""COMPUTED_VALUE"""),10010131)</f>
        <v>10010131</v>
      </c>
      <c r="B165" s="62" t="str">
        <f ca="1">IFERROR(__xludf.DUMMYFUNCTION("""COMPUTED_VALUE"""),"Pantalla LG Styllus 3 Original")</f>
        <v>Pantalla LG Styllus 3 Original</v>
      </c>
      <c r="C165" s="75">
        <f ca="1">IFERROR(__xludf.DUMMYFUNCTION("""COMPUTED_VALUE"""),120)</f>
        <v>120</v>
      </c>
      <c r="D165" s="75">
        <f ca="1">IFERROR(__xludf.DUMMYFUNCTION("""COMPUTED_VALUE"""),0)</f>
        <v>0</v>
      </c>
      <c r="E165" s="76">
        <f ca="1">IFERROR(__xludf.DUMMYFUNCTION("""COMPUTED_VALUE"""),120)</f>
        <v>120</v>
      </c>
      <c r="F165" s="77">
        <f ca="1">IFERROR(__xludf.DUMMYFUNCTION("""COMPUTED_VALUE"""),10010131)</f>
        <v>10010131</v>
      </c>
      <c r="G165" s="77" t="str">
        <f t="shared" ca="1" si="0"/>
        <v>si</v>
      </c>
    </row>
    <row r="166" spans="1:7" ht="12.75" x14ac:dyDescent="0.2">
      <c r="A166" s="62">
        <f ca="1">IFERROR(__xludf.DUMMYFUNCTION("""COMPUTED_VALUE"""),10010132)</f>
        <v>10010132</v>
      </c>
      <c r="B166" s="62" t="str">
        <f ca="1">IFERROR(__xludf.DUMMYFUNCTION("""COMPUTED_VALUE"""),"Pantalla LG Styllus 5 Original")</f>
        <v>Pantalla LG Styllus 5 Original</v>
      </c>
      <c r="C166" s="75">
        <f ca="1">IFERROR(__xludf.DUMMYFUNCTION("""COMPUTED_VALUE"""),120)</f>
        <v>120</v>
      </c>
      <c r="D166" s="75">
        <f ca="1">IFERROR(__xludf.DUMMYFUNCTION("""COMPUTED_VALUE"""),0)</f>
        <v>0</v>
      </c>
      <c r="E166" s="76">
        <f ca="1">IFERROR(__xludf.DUMMYFUNCTION("""COMPUTED_VALUE"""),120)</f>
        <v>120</v>
      </c>
      <c r="F166" s="77">
        <f ca="1">IFERROR(__xludf.DUMMYFUNCTION("""COMPUTED_VALUE"""),10010132)</f>
        <v>10010132</v>
      </c>
      <c r="G166" s="77" t="str">
        <f t="shared" ca="1" si="0"/>
        <v>si</v>
      </c>
    </row>
    <row r="167" spans="1:7" ht="12.75" x14ac:dyDescent="0.2">
      <c r="A167" s="62">
        <f ca="1">IFERROR(__xludf.DUMMYFUNCTION("""COMPUTED_VALUE"""),10010139)</f>
        <v>10010139</v>
      </c>
      <c r="B167" s="62" t="str">
        <f ca="1">IFERROR(__xludf.DUMMYFUNCTION("""COMPUTED_VALUE"""),"Pantalla LG X Style / K6 / K200")</f>
        <v>Pantalla LG X Style / K6 / K200</v>
      </c>
      <c r="C167" s="75">
        <f ca="1">IFERROR(__xludf.DUMMYFUNCTION("""COMPUTED_VALUE"""),100)</f>
        <v>100</v>
      </c>
      <c r="D167" s="75">
        <f ca="1">IFERROR(__xludf.DUMMYFUNCTION("""COMPUTED_VALUE"""),0)</f>
        <v>0</v>
      </c>
      <c r="E167" s="76">
        <f ca="1">IFERROR(__xludf.DUMMYFUNCTION("""COMPUTED_VALUE"""),100)</f>
        <v>100</v>
      </c>
      <c r="F167" s="77">
        <f ca="1">IFERROR(__xludf.DUMMYFUNCTION("""COMPUTED_VALUE"""),10010139)</f>
        <v>10010139</v>
      </c>
      <c r="G167" s="77" t="str">
        <f t="shared" ca="1" si="0"/>
        <v>si</v>
      </c>
    </row>
    <row r="168" spans="1:7" ht="12.75" x14ac:dyDescent="0.2">
      <c r="A168" s="62">
        <f ca="1">IFERROR(__xludf.DUMMYFUNCTION("""COMPUTED_VALUE"""),10010137)</f>
        <v>10010137</v>
      </c>
      <c r="B168" s="62" t="str">
        <f ca="1">IFERROR(__xludf.DUMMYFUNCTION("""COMPUTED_VALUE"""),"Pantalla LG X Max Original")</f>
        <v>Pantalla LG X Max Original</v>
      </c>
      <c r="C168" s="75">
        <f ca="1">IFERROR(__xludf.DUMMYFUNCTION("""COMPUTED_VALUE"""),110)</f>
        <v>110</v>
      </c>
      <c r="D168" s="75">
        <f ca="1">IFERROR(__xludf.DUMMYFUNCTION("""COMPUTED_VALUE"""),0)</f>
        <v>0</v>
      </c>
      <c r="E168" s="76">
        <f ca="1">IFERROR(__xludf.DUMMYFUNCTION("""COMPUTED_VALUE"""),110)</f>
        <v>110</v>
      </c>
      <c r="F168" s="77">
        <f ca="1">IFERROR(__xludf.DUMMYFUNCTION("""COMPUTED_VALUE"""),10010137)</f>
        <v>10010137</v>
      </c>
      <c r="G168" s="77" t="str">
        <f t="shared" ca="1" si="0"/>
        <v>si</v>
      </c>
    </row>
    <row r="169" spans="1:7" ht="12.75" x14ac:dyDescent="0.2">
      <c r="A169" s="62">
        <f ca="1">IFERROR(__xludf.DUMMYFUNCTION("""COMPUTED_VALUE"""),10010136)</f>
        <v>10010136</v>
      </c>
      <c r="B169" s="62" t="str">
        <f ca="1">IFERROR(__xludf.DUMMYFUNCTION("""COMPUTED_VALUE"""),"Pantalla LG X Cam Original")</f>
        <v>Pantalla LG X Cam Original</v>
      </c>
      <c r="C169" s="75">
        <f ca="1">IFERROR(__xludf.DUMMYFUNCTION("""COMPUTED_VALUE"""),130)</f>
        <v>130</v>
      </c>
      <c r="D169" s="75">
        <f ca="1">IFERROR(__xludf.DUMMYFUNCTION("""COMPUTED_VALUE"""),0)</f>
        <v>0</v>
      </c>
      <c r="E169" s="76">
        <f ca="1">IFERROR(__xludf.DUMMYFUNCTION("""COMPUTED_VALUE"""),130)</f>
        <v>130</v>
      </c>
      <c r="F169" s="77">
        <f ca="1">IFERROR(__xludf.DUMMYFUNCTION("""COMPUTED_VALUE"""),10010136)</f>
        <v>10010136</v>
      </c>
      <c r="G169" s="77" t="str">
        <f t="shared" ca="1" si="0"/>
        <v>si</v>
      </c>
    </row>
    <row r="170" spans="1:7" ht="12.75" x14ac:dyDescent="0.2">
      <c r="A170" s="62">
        <f ca="1">IFERROR(__xludf.DUMMYFUNCTION("""COMPUTED_VALUE"""),10010133)</f>
        <v>10010133</v>
      </c>
      <c r="B170" s="62" t="str">
        <f ca="1">IFERROR(__xludf.DUMMYFUNCTION("""COMPUTED_VALUE"""),"Pantalla LG V10 Original")</f>
        <v>Pantalla LG V10 Original</v>
      </c>
      <c r="C170" s="75">
        <f ca="1">IFERROR(__xludf.DUMMYFUNCTION("""COMPUTED_VALUE"""),80)</f>
        <v>80</v>
      </c>
      <c r="D170" s="75">
        <f ca="1">IFERROR(__xludf.DUMMYFUNCTION("""COMPUTED_VALUE"""),0)</f>
        <v>0</v>
      </c>
      <c r="E170" s="76">
        <f ca="1">IFERROR(__xludf.DUMMYFUNCTION("""COMPUTED_VALUE"""),80)</f>
        <v>80</v>
      </c>
      <c r="F170" s="77">
        <f ca="1">IFERROR(__xludf.DUMMYFUNCTION("""COMPUTED_VALUE"""),10010133)</f>
        <v>10010133</v>
      </c>
      <c r="G170" s="77" t="str">
        <f t="shared" ca="1" si="0"/>
        <v>si</v>
      </c>
    </row>
    <row r="171" spans="1:7" ht="12.75" x14ac:dyDescent="0.2">
      <c r="A171" s="62">
        <f ca="1">IFERROR(__xludf.DUMMYFUNCTION("""COMPUTED_VALUE"""),10010134)</f>
        <v>10010134</v>
      </c>
      <c r="B171" s="62" t="str">
        <f ca="1">IFERROR(__xludf.DUMMYFUNCTION("""COMPUTED_VALUE"""),"Pantalla LG V35 Original")</f>
        <v>Pantalla LG V35 Original</v>
      </c>
      <c r="C171" s="75">
        <f ca="1">IFERROR(__xludf.DUMMYFUNCTION("""COMPUTED_VALUE"""),430)</f>
        <v>430</v>
      </c>
      <c r="D171" s="75">
        <f ca="1">IFERROR(__xludf.DUMMYFUNCTION("""COMPUTED_VALUE"""),0)</f>
        <v>0</v>
      </c>
      <c r="E171" s="76">
        <f ca="1">IFERROR(__xludf.DUMMYFUNCTION("""COMPUTED_VALUE"""),430)</f>
        <v>430</v>
      </c>
      <c r="F171" s="77">
        <f ca="1">IFERROR(__xludf.DUMMYFUNCTION("""COMPUTED_VALUE"""),10010134)</f>
        <v>10010134</v>
      </c>
      <c r="G171" s="77" t="str">
        <f t="shared" ca="1" si="0"/>
        <v>si</v>
      </c>
    </row>
    <row r="172" spans="1:7" ht="12.75" x14ac:dyDescent="0.2">
      <c r="A172" s="62">
        <f ca="1">IFERROR(__xludf.DUMMYFUNCTION("""COMPUTED_VALUE"""),10010135)</f>
        <v>10010135</v>
      </c>
      <c r="B172" s="62" t="str">
        <f ca="1">IFERROR(__xludf.DUMMYFUNCTION("""COMPUTED_VALUE"""),"Pantalla LG V40 / V40 THINQ Original")</f>
        <v>Pantalla LG V40 / V40 THINQ Original</v>
      </c>
      <c r="C172" s="75">
        <f ca="1">IFERROR(__xludf.DUMMYFUNCTION("""COMPUTED_VALUE"""),490)</f>
        <v>490</v>
      </c>
      <c r="D172" s="75">
        <f ca="1">IFERROR(__xludf.DUMMYFUNCTION("""COMPUTED_VALUE"""),0)</f>
        <v>0</v>
      </c>
      <c r="E172" s="76">
        <f ca="1">IFERROR(__xludf.DUMMYFUNCTION("""COMPUTED_VALUE"""),490)</f>
        <v>490</v>
      </c>
      <c r="F172" s="77">
        <f ca="1">IFERROR(__xludf.DUMMYFUNCTION("""COMPUTED_VALUE"""),10010135)</f>
        <v>10010135</v>
      </c>
      <c r="G172" s="77" t="str">
        <f t="shared" ca="1" si="0"/>
        <v>si</v>
      </c>
    </row>
    <row r="173" spans="1:7" ht="12.75" x14ac:dyDescent="0.2">
      <c r="A173" s="62">
        <f ca="1">IFERROR(__xludf.DUMMYFUNCTION("""COMPUTED_VALUE"""),10010425)</f>
        <v>10010425</v>
      </c>
      <c r="B173" s="62" t="str">
        <f ca="1">IFERROR(__xludf.DUMMYFUNCTION("""COMPUTED_VALUE"""),"Pantalla LG V20 Original")</f>
        <v>Pantalla LG V20 Original</v>
      </c>
      <c r="C173" s="75">
        <f ca="1">IFERROR(__xludf.DUMMYFUNCTION("""COMPUTED_VALUE"""),100)</f>
        <v>100</v>
      </c>
      <c r="D173" s="75">
        <f ca="1">IFERROR(__xludf.DUMMYFUNCTION("""COMPUTED_VALUE"""),0)</f>
        <v>0</v>
      </c>
      <c r="E173" s="76">
        <f ca="1">IFERROR(__xludf.DUMMYFUNCTION("""COMPUTED_VALUE"""),100)</f>
        <v>100</v>
      </c>
      <c r="F173" s="77">
        <f ca="1">IFERROR(__xludf.DUMMYFUNCTION("""COMPUTED_VALUE"""),10010425)</f>
        <v>10010425</v>
      </c>
      <c r="G173" s="77" t="str">
        <f t="shared" ca="1" si="0"/>
        <v>si</v>
      </c>
    </row>
    <row r="174" spans="1:7" ht="12.75" x14ac:dyDescent="0.2">
      <c r="A174" s="62">
        <f ca="1">IFERROR(__xludf.DUMMYFUNCTION("""COMPUTED_VALUE"""),10160182)</f>
        <v>10160182</v>
      </c>
      <c r="B174" s="62" t="str">
        <f ca="1">IFERROR(__xludf.DUMMYFUNCTION("""COMPUTED_VALUE"""),"Pantalla LG K22 Original")</f>
        <v>Pantalla LG K22 Original</v>
      </c>
      <c r="C174" s="75">
        <f ca="1">IFERROR(__xludf.DUMMYFUNCTION("""COMPUTED_VALUE"""),140)</f>
        <v>140</v>
      </c>
      <c r="D174" s="75">
        <f ca="1">IFERROR(__xludf.DUMMYFUNCTION("""COMPUTED_VALUE"""),0)</f>
        <v>0</v>
      </c>
      <c r="E174" s="76">
        <f ca="1">IFERROR(__xludf.DUMMYFUNCTION("""COMPUTED_VALUE"""),140)</f>
        <v>140</v>
      </c>
      <c r="F174" s="77">
        <f ca="1">IFERROR(__xludf.DUMMYFUNCTION("""COMPUTED_VALUE"""),10160182)</f>
        <v>10160182</v>
      </c>
      <c r="G174" s="77" t="str">
        <f t="shared" ca="1" si="0"/>
        <v>si</v>
      </c>
    </row>
    <row r="175" spans="1:7" ht="12.75" x14ac:dyDescent="0.2">
      <c r="A175" s="62">
        <f ca="1">IFERROR(__xludf.DUMMYFUNCTION("""COMPUTED_VALUE"""),10160183)</f>
        <v>10160183</v>
      </c>
      <c r="B175" s="62" t="str">
        <f ca="1">IFERROR(__xludf.DUMMYFUNCTION("""COMPUTED_VALUE"""),"Pantalla LG K42 Original")</f>
        <v>Pantalla LG K42 Original</v>
      </c>
      <c r="C175" s="75">
        <f ca="1">IFERROR(__xludf.DUMMYFUNCTION("""COMPUTED_VALUE"""),140)</f>
        <v>140</v>
      </c>
      <c r="D175" s="75">
        <f ca="1">IFERROR(__xludf.DUMMYFUNCTION("""COMPUTED_VALUE"""),0)</f>
        <v>0</v>
      </c>
      <c r="E175" s="76">
        <f ca="1">IFERROR(__xludf.DUMMYFUNCTION("""COMPUTED_VALUE"""),140)</f>
        <v>140</v>
      </c>
      <c r="F175" s="77">
        <f ca="1">IFERROR(__xludf.DUMMYFUNCTION("""COMPUTED_VALUE"""),10160183)</f>
        <v>10160183</v>
      </c>
      <c r="G175" s="77" t="str">
        <f t="shared" ca="1" si="0"/>
        <v>si</v>
      </c>
    </row>
    <row r="176" spans="1:7" ht="12.75" x14ac:dyDescent="0.2">
      <c r="A176" s="62">
        <f ca="1">IFERROR(__xludf.DUMMYFUNCTION("""COMPUTED_VALUE"""),10010469)</f>
        <v>10010469</v>
      </c>
      <c r="B176" s="62" t="str">
        <f ca="1">IFERROR(__xludf.DUMMYFUNCTION("""COMPUTED_VALUE"""),"Pantalla LG K41s")</f>
        <v>Pantalla LG K41s</v>
      </c>
      <c r="C176" s="75">
        <f ca="1">IFERROR(__xludf.DUMMYFUNCTION("""COMPUTED_VALUE"""),140)</f>
        <v>140</v>
      </c>
      <c r="D176" s="75">
        <f ca="1">IFERROR(__xludf.DUMMYFUNCTION("""COMPUTED_VALUE"""),0)</f>
        <v>0</v>
      </c>
      <c r="E176" s="76">
        <f ca="1">IFERROR(__xludf.DUMMYFUNCTION("""COMPUTED_VALUE"""),140)</f>
        <v>140</v>
      </c>
      <c r="F176" s="77">
        <f ca="1">IFERROR(__xludf.DUMMYFUNCTION("""COMPUTED_VALUE"""),10010469)</f>
        <v>10010469</v>
      </c>
      <c r="G176" s="77" t="str">
        <f t="shared" ca="1" si="0"/>
        <v>si</v>
      </c>
    </row>
    <row r="177" spans="1:7" ht="12.75" x14ac:dyDescent="0.2">
      <c r="A177" s="62">
        <f ca="1">IFERROR(__xludf.DUMMYFUNCTION("""COMPUTED_VALUE"""),10010470)</f>
        <v>10010470</v>
      </c>
      <c r="B177" s="62" t="str">
        <f ca="1">IFERROR(__xludf.DUMMYFUNCTION("""COMPUTED_VALUE"""),"Pantalla LG K51s")</f>
        <v>Pantalla LG K51s</v>
      </c>
      <c r="C177" s="75">
        <f ca="1">IFERROR(__xludf.DUMMYFUNCTION("""COMPUTED_VALUE"""),140)</f>
        <v>140</v>
      </c>
      <c r="D177" s="75">
        <f ca="1">IFERROR(__xludf.DUMMYFUNCTION("""COMPUTED_VALUE"""),0)</f>
        <v>0</v>
      </c>
      <c r="E177" s="76">
        <f ca="1">IFERROR(__xludf.DUMMYFUNCTION("""COMPUTED_VALUE"""),140)</f>
        <v>140</v>
      </c>
      <c r="F177" s="77">
        <f ca="1">IFERROR(__xludf.DUMMYFUNCTION("""COMPUTED_VALUE"""),10010470)</f>
        <v>10010470</v>
      </c>
      <c r="G177" s="77" t="str">
        <f t="shared" ca="1" si="0"/>
        <v>si</v>
      </c>
    </row>
    <row r="178" spans="1:7" ht="12.75" x14ac:dyDescent="0.2">
      <c r="A178" s="62">
        <f ca="1">IFERROR(__xludf.DUMMYFUNCTION("""COMPUTED_VALUE"""),10010490)</f>
        <v>10010490</v>
      </c>
      <c r="B178" s="62" t="str">
        <f ca="1">IFERROR(__xludf.DUMMYFUNCTION("""COMPUTED_VALUE"""),"Pantalla LG K51")</f>
        <v>Pantalla LG K51</v>
      </c>
      <c r="C178" s="75">
        <f ca="1">IFERROR(__xludf.DUMMYFUNCTION("""COMPUTED_VALUE"""),0)</f>
        <v>0</v>
      </c>
      <c r="D178" s="75">
        <f ca="1">IFERROR(__xludf.DUMMYFUNCTION("""COMPUTED_VALUE"""),0)</f>
        <v>0</v>
      </c>
      <c r="E178" s="76">
        <f ca="1">IFERROR(__xludf.DUMMYFUNCTION("""COMPUTED_VALUE"""),0)</f>
        <v>0</v>
      </c>
      <c r="F178" s="77">
        <f ca="1">IFERROR(__xludf.DUMMYFUNCTION("""COMPUTED_VALUE"""),10010490)</f>
        <v>10010490</v>
      </c>
      <c r="G178" s="77" t="str">
        <f t="shared" ca="1" si="0"/>
        <v>si</v>
      </c>
    </row>
    <row r="179" spans="1:7" ht="12.75" x14ac:dyDescent="0.2">
      <c r="A179" s="62">
        <f ca="1">IFERROR(__xludf.DUMMYFUNCTION("""COMPUTED_VALUE"""),10010509)</f>
        <v>10010509</v>
      </c>
      <c r="B179" s="62" t="str">
        <f ca="1">IFERROR(__xludf.DUMMYFUNCTION("""COMPUTED_VALUE"""),"Pantalla LG K4 LTE")</f>
        <v>Pantalla LG K4 LTE</v>
      </c>
      <c r="C179" s="75">
        <f ca="1">IFERROR(__xludf.DUMMYFUNCTION("""COMPUTED_VALUE"""),50)</f>
        <v>50</v>
      </c>
      <c r="D179" s="75">
        <f ca="1">IFERROR(__xludf.DUMMYFUNCTION("""COMPUTED_VALUE"""),0)</f>
        <v>0</v>
      </c>
      <c r="E179" s="76">
        <f ca="1">IFERROR(__xludf.DUMMYFUNCTION("""COMPUTED_VALUE"""),50)</f>
        <v>50</v>
      </c>
      <c r="F179" s="77">
        <f ca="1">IFERROR(__xludf.DUMMYFUNCTION("""COMPUTED_VALUE"""),10010509)</f>
        <v>10010509</v>
      </c>
      <c r="G179" s="77" t="str">
        <f t="shared" ca="1" si="0"/>
        <v>si</v>
      </c>
    </row>
    <row r="180" spans="1:7" ht="12.75" x14ac:dyDescent="0.2">
      <c r="A180" s="62">
        <f ca="1">IFERROR(__xludf.DUMMYFUNCTION("""COMPUTED_VALUE"""),10010471)</f>
        <v>10010471</v>
      </c>
      <c r="B180" s="62" t="str">
        <f ca="1">IFERROR(__xludf.DUMMYFUNCTION("""COMPUTED_VALUE"""),"Pantalla OPPO A54 4G")</f>
        <v>Pantalla OPPO A54 4G</v>
      </c>
      <c r="C180" s="75">
        <f ca="1">IFERROR(__xludf.DUMMYFUNCTION("""COMPUTED_VALUE"""),220)</f>
        <v>220</v>
      </c>
      <c r="D180" s="75">
        <f ca="1">IFERROR(__xludf.DUMMYFUNCTION("""COMPUTED_VALUE"""),50)</f>
        <v>50</v>
      </c>
      <c r="E180" s="76">
        <f ca="1">IFERROR(__xludf.DUMMYFUNCTION("""COMPUTED_VALUE"""),270)</f>
        <v>270</v>
      </c>
      <c r="F180" s="77">
        <f ca="1">IFERROR(__xludf.DUMMYFUNCTION("""COMPUTED_VALUE"""),10010471)</f>
        <v>10010471</v>
      </c>
      <c r="G180" s="77" t="str">
        <f t="shared" ca="1" si="0"/>
        <v>si</v>
      </c>
    </row>
    <row r="181" spans="1:7" ht="12.75" x14ac:dyDescent="0.2">
      <c r="A181" s="62">
        <f ca="1">IFERROR(__xludf.DUMMYFUNCTION("""COMPUTED_VALUE"""),10010019)</f>
        <v>10010019</v>
      </c>
      <c r="B181" s="62" t="str">
        <f ca="1">IFERROR(__xludf.DUMMYFUNCTION("""COMPUTED_VALUE"""),"Lenovo K5")</f>
        <v>Lenovo K5</v>
      </c>
      <c r="C181" s="75">
        <f ca="1">IFERROR(__xludf.DUMMYFUNCTION("""COMPUTED_VALUE"""),70)</f>
        <v>70</v>
      </c>
      <c r="D181" s="75">
        <f ca="1">IFERROR(__xludf.DUMMYFUNCTION("""COMPUTED_VALUE"""),0)</f>
        <v>0</v>
      </c>
      <c r="E181" s="76">
        <f ca="1">IFERROR(__xludf.DUMMYFUNCTION("""COMPUTED_VALUE"""),70)</f>
        <v>70</v>
      </c>
      <c r="F181" s="77">
        <f ca="1">IFERROR(__xludf.DUMMYFUNCTION("""COMPUTED_VALUE"""),10010019)</f>
        <v>10010019</v>
      </c>
      <c r="G181" s="77" t="str">
        <f t="shared" ca="1" si="0"/>
        <v>si</v>
      </c>
    </row>
    <row r="182" spans="1:7" ht="12.75" x14ac:dyDescent="0.2">
      <c r="A182" s="62">
        <f ca="1">IFERROR(__xludf.DUMMYFUNCTION("""COMPUTED_VALUE"""),10010354)</f>
        <v>10010354</v>
      </c>
      <c r="B182" s="62" t="str">
        <f ca="1">IFERROR(__xludf.DUMMYFUNCTION("""COMPUTED_VALUE"""),"V10 Blade")</f>
        <v>V10 Blade</v>
      </c>
      <c r="C182" s="75">
        <f ca="1">IFERROR(__xludf.DUMMYFUNCTION("""COMPUTED_VALUE"""),80)</f>
        <v>80</v>
      </c>
      <c r="D182" s="75">
        <f ca="1">IFERROR(__xludf.DUMMYFUNCTION("""COMPUTED_VALUE"""),0)</f>
        <v>0</v>
      </c>
      <c r="E182" s="76">
        <f ca="1">IFERROR(__xludf.DUMMYFUNCTION("""COMPUTED_VALUE"""),80)</f>
        <v>80</v>
      </c>
      <c r="F182" s="77">
        <f ca="1">IFERROR(__xludf.DUMMYFUNCTION("""COMPUTED_VALUE"""),10010354)</f>
        <v>10010354</v>
      </c>
      <c r="G182" s="77" t="str">
        <f t="shared" ca="1" si="0"/>
        <v>si</v>
      </c>
    </row>
    <row r="183" spans="1:7" ht="12.75" x14ac:dyDescent="0.2">
      <c r="A183" s="62">
        <f ca="1">IFERROR(__xludf.DUMMYFUNCTION("""COMPUTED_VALUE"""),10010364)</f>
        <v>10010364</v>
      </c>
      <c r="B183" s="62" t="str">
        <f ca="1">IFERROR(__xludf.DUMMYFUNCTION("""COMPUTED_VALUE"""),"V9 Vita Blade")</f>
        <v>V9 Vita Blade</v>
      </c>
      <c r="C183" s="75">
        <f ca="1">IFERROR(__xludf.DUMMYFUNCTION("""COMPUTED_VALUE"""),80)</f>
        <v>80</v>
      </c>
      <c r="D183" s="75">
        <f ca="1">IFERROR(__xludf.DUMMYFUNCTION("""COMPUTED_VALUE"""),0)</f>
        <v>0</v>
      </c>
      <c r="E183" s="76">
        <f ca="1">IFERROR(__xludf.DUMMYFUNCTION("""COMPUTED_VALUE"""),80)</f>
        <v>80</v>
      </c>
      <c r="F183" s="77">
        <f ca="1">IFERROR(__xludf.DUMMYFUNCTION("""COMPUTED_VALUE"""),10010364)</f>
        <v>10010364</v>
      </c>
      <c r="G183" s="77" t="str">
        <f t="shared" ca="1" si="0"/>
        <v>si</v>
      </c>
    </row>
    <row r="184" spans="1:7" ht="12.75" x14ac:dyDescent="0.2">
      <c r="A184" s="62">
        <f ca="1">IFERROR(__xludf.DUMMYFUNCTION("""COMPUTED_VALUE"""),10010001)</f>
        <v>10010001</v>
      </c>
      <c r="B184" s="62" t="str">
        <f ca="1">IFERROR(__xludf.DUMMYFUNCTION("""COMPUTED_VALUE"""),"BLADE L7")</f>
        <v>BLADE L7</v>
      </c>
      <c r="C184" s="75">
        <f ca="1">IFERROR(__xludf.DUMMYFUNCTION("""COMPUTED_VALUE"""),50)</f>
        <v>50</v>
      </c>
      <c r="D184" s="75">
        <f ca="1">IFERROR(__xludf.DUMMYFUNCTION("""COMPUTED_VALUE"""),0)</f>
        <v>0</v>
      </c>
      <c r="E184" s="76">
        <f ca="1">IFERROR(__xludf.DUMMYFUNCTION("""COMPUTED_VALUE"""),50)</f>
        <v>50</v>
      </c>
      <c r="F184" s="77">
        <f ca="1">IFERROR(__xludf.DUMMYFUNCTION("""COMPUTED_VALUE"""),10010001)</f>
        <v>10010001</v>
      </c>
      <c r="G184" s="77" t="str">
        <f t="shared" ca="1" si="0"/>
        <v>si</v>
      </c>
    </row>
    <row r="185" spans="1:7" ht="12.75" x14ac:dyDescent="0.2">
      <c r="A185" s="62">
        <f ca="1">IFERROR(__xludf.DUMMYFUNCTION("""COMPUTED_VALUE"""),10010422)</f>
        <v>10010422</v>
      </c>
      <c r="B185" s="62" t="str">
        <f ca="1">IFERROR(__xludf.DUMMYFUNCTION("""COMPUTED_VALUE"""),"Pantalla Realme C3 / 6i")</f>
        <v>Pantalla Realme C3 / 6i</v>
      </c>
      <c r="C185" s="75">
        <f ca="1">IFERROR(__xludf.DUMMYFUNCTION("""COMPUTED_VALUE"""),200)</f>
        <v>200</v>
      </c>
      <c r="D185" s="75">
        <f ca="1">IFERROR(__xludf.DUMMYFUNCTION("""COMPUTED_VALUE"""),40)</f>
        <v>40</v>
      </c>
      <c r="E185" s="76">
        <f ca="1">IFERROR(__xludf.DUMMYFUNCTION("""COMPUTED_VALUE"""),240)</f>
        <v>240</v>
      </c>
      <c r="F185" s="77">
        <f ca="1">IFERROR(__xludf.DUMMYFUNCTION("""COMPUTED_VALUE"""),10010422)</f>
        <v>10010422</v>
      </c>
      <c r="G185" s="77" t="str">
        <f t="shared" ca="1" si="0"/>
        <v>si</v>
      </c>
    </row>
    <row r="186" spans="1:7" ht="12.75" x14ac:dyDescent="0.2">
      <c r="A186" s="62">
        <f ca="1">IFERROR(__xludf.DUMMYFUNCTION("""COMPUTED_VALUE"""),10010423)</f>
        <v>10010423</v>
      </c>
      <c r="B186" s="62" t="str">
        <f ca="1">IFERROR(__xludf.DUMMYFUNCTION("""COMPUTED_VALUE"""),"Pantalla Realme  6 PRO/Oppo Reno 4z")</f>
        <v>Pantalla Realme  6 PRO/Oppo Reno 4z</v>
      </c>
      <c r="C186" s="75">
        <f ca="1">IFERROR(__xludf.DUMMYFUNCTION("""COMPUTED_VALUE"""),200)</f>
        <v>200</v>
      </c>
      <c r="D186" s="75">
        <f ca="1">IFERROR(__xludf.DUMMYFUNCTION("""COMPUTED_VALUE"""),40)</f>
        <v>40</v>
      </c>
      <c r="E186" s="76">
        <f ca="1">IFERROR(__xludf.DUMMYFUNCTION("""COMPUTED_VALUE"""),240)</f>
        <v>240</v>
      </c>
      <c r="F186" s="77">
        <f ca="1">IFERROR(__xludf.DUMMYFUNCTION("""COMPUTED_VALUE"""),10010423)</f>
        <v>10010423</v>
      </c>
      <c r="G186" s="77" t="str">
        <f t="shared" ca="1" si="0"/>
        <v>si</v>
      </c>
    </row>
    <row r="187" spans="1:7" ht="12.75" x14ac:dyDescent="0.2">
      <c r="A187" s="62">
        <f ca="1">IFERROR(__xludf.DUMMYFUNCTION("""COMPUTED_VALUE"""),10010424)</f>
        <v>10010424</v>
      </c>
      <c r="B187" s="62" t="str">
        <f ca="1">IFERROR(__xludf.DUMMYFUNCTION("""COMPUTED_VALUE"""),"Pantalla Realme 7 Pro / Realme 8 Pro")</f>
        <v>Pantalla Realme 7 Pro / Realme 8 Pro</v>
      </c>
      <c r="C187" s="75">
        <f ca="1">IFERROR(__xludf.DUMMYFUNCTION("""COMPUTED_VALUE"""),430)</f>
        <v>430</v>
      </c>
      <c r="D187" s="75">
        <f ca="1">IFERROR(__xludf.DUMMYFUNCTION("""COMPUTED_VALUE"""),60)</f>
        <v>60</v>
      </c>
      <c r="E187" s="76">
        <f ca="1">IFERROR(__xludf.DUMMYFUNCTION("""COMPUTED_VALUE"""),490)</f>
        <v>490</v>
      </c>
      <c r="F187" s="77">
        <f ca="1">IFERROR(__xludf.DUMMYFUNCTION("""COMPUTED_VALUE"""),10010424)</f>
        <v>10010424</v>
      </c>
      <c r="G187" s="77" t="str">
        <f t="shared" ca="1" si="0"/>
        <v>si</v>
      </c>
    </row>
    <row r="188" spans="1:7" ht="12.75" x14ac:dyDescent="0.2">
      <c r="A188" s="62">
        <f ca="1">IFERROR(__xludf.DUMMYFUNCTION("""COMPUTED_VALUE"""),10160194)</f>
        <v>10160194</v>
      </c>
      <c r="B188" s="62" t="str">
        <f ca="1">IFERROR(__xludf.DUMMYFUNCTION("""COMPUTED_VALUE"""),"Pantalla Realme  6 ")</f>
        <v xml:space="preserve">Pantalla Realme  6 </v>
      </c>
      <c r="C188" s="75">
        <f ca="1">IFERROR(__xludf.DUMMYFUNCTION("""COMPUTED_VALUE"""),200)</f>
        <v>200</v>
      </c>
      <c r="D188" s="75">
        <f ca="1">IFERROR(__xludf.DUMMYFUNCTION("""COMPUTED_VALUE"""),30)</f>
        <v>30</v>
      </c>
      <c r="E188" s="76">
        <f ca="1">IFERROR(__xludf.DUMMYFUNCTION("""COMPUTED_VALUE"""),230)</f>
        <v>230</v>
      </c>
      <c r="F188" s="77">
        <f ca="1">IFERROR(__xludf.DUMMYFUNCTION("""COMPUTED_VALUE"""),10160194)</f>
        <v>10160194</v>
      </c>
      <c r="G188" s="77" t="str">
        <f t="shared" ca="1" si="0"/>
        <v>si</v>
      </c>
    </row>
    <row r="189" spans="1:7" ht="12.75" x14ac:dyDescent="0.2">
      <c r="A189" s="62">
        <f ca="1">IFERROR(__xludf.DUMMYFUNCTION("""COMPUTED_VALUE"""),10010443)</f>
        <v>10010443</v>
      </c>
      <c r="B189" s="62" t="str">
        <f ca="1">IFERROR(__xludf.DUMMYFUNCTION("""COMPUTED_VALUE"""),"Pantalla OPPO Reno 5 lite")</f>
        <v>Pantalla OPPO Reno 5 lite</v>
      </c>
      <c r="C189" s="75">
        <f ca="1">IFERROR(__xludf.DUMMYFUNCTION("""COMPUTED_VALUE"""),470)</f>
        <v>470</v>
      </c>
      <c r="D189" s="75">
        <f ca="1">IFERROR(__xludf.DUMMYFUNCTION("""COMPUTED_VALUE"""),60)</f>
        <v>60</v>
      </c>
      <c r="E189" s="76">
        <f ca="1">IFERROR(__xludf.DUMMYFUNCTION("""COMPUTED_VALUE"""),530)</f>
        <v>530</v>
      </c>
      <c r="F189" s="77">
        <f ca="1">IFERROR(__xludf.DUMMYFUNCTION("""COMPUTED_VALUE"""),10010443)</f>
        <v>10010443</v>
      </c>
      <c r="G189" s="77" t="str">
        <f t="shared" ca="1" si="0"/>
        <v>si</v>
      </c>
    </row>
    <row r="190" spans="1:7" ht="12.75" x14ac:dyDescent="0.2">
      <c r="A190" s="62">
        <f ca="1">IFERROR(__xludf.DUMMYFUNCTION("""COMPUTED_VALUE"""),10010444)</f>
        <v>10010444</v>
      </c>
      <c r="B190" s="62" t="str">
        <f ca="1">IFERROR(__xludf.DUMMYFUNCTION("""COMPUTED_VALUE"""),"Pantalla OPPO Reno 6 5G")</f>
        <v>Pantalla OPPO Reno 6 5G</v>
      </c>
      <c r="C190" s="75">
        <f ca="1">IFERROR(__xludf.DUMMYFUNCTION("""COMPUTED_VALUE"""),550)</f>
        <v>550</v>
      </c>
      <c r="D190" s="75">
        <f ca="1">IFERROR(__xludf.DUMMYFUNCTION("""COMPUTED_VALUE"""),40)</f>
        <v>40</v>
      </c>
      <c r="E190" s="76">
        <f ca="1">IFERROR(__xludf.DUMMYFUNCTION("""COMPUTED_VALUE"""),590)</f>
        <v>590</v>
      </c>
      <c r="F190" s="77">
        <f ca="1">IFERROR(__xludf.DUMMYFUNCTION("""COMPUTED_VALUE"""),10010444)</f>
        <v>10010444</v>
      </c>
      <c r="G190" s="77" t="str">
        <f t="shared" ca="1" si="0"/>
        <v>si</v>
      </c>
    </row>
    <row r="191" spans="1:7" ht="12.75" x14ac:dyDescent="0.2">
      <c r="A191" s="62">
        <f ca="1">IFERROR(__xludf.DUMMYFUNCTION("""COMPUTED_VALUE"""),10010445)</f>
        <v>10010445</v>
      </c>
      <c r="B191" s="62" t="str">
        <f ca="1">IFERROR(__xludf.DUMMYFUNCTION("""COMPUTED_VALUE"""),"Pantalla OPPO A16")</f>
        <v>Pantalla OPPO A16</v>
      </c>
      <c r="C191" s="75">
        <f ca="1">IFERROR(__xludf.DUMMYFUNCTION("""COMPUTED_VALUE"""),240)</f>
        <v>240</v>
      </c>
      <c r="D191" s="75">
        <f ca="1">IFERROR(__xludf.DUMMYFUNCTION("""COMPUTED_VALUE"""),50)</f>
        <v>50</v>
      </c>
      <c r="E191" s="76">
        <f ca="1">IFERROR(__xludf.DUMMYFUNCTION("""COMPUTED_VALUE"""),290)</f>
        <v>290</v>
      </c>
      <c r="F191" s="77">
        <f ca="1">IFERROR(__xludf.DUMMYFUNCTION("""COMPUTED_VALUE"""),10010445)</f>
        <v>10010445</v>
      </c>
      <c r="G191" s="77" t="str">
        <f t="shared" ca="1" si="0"/>
        <v>si</v>
      </c>
    </row>
    <row r="192" spans="1:7" ht="12.75" x14ac:dyDescent="0.2">
      <c r="A192" s="62">
        <f ca="1">IFERROR(__xludf.DUMMYFUNCTION("""COMPUTED_VALUE"""),10010446)</f>
        <v>10010446</v>
      </c>
      <c r="B192" s="62" t="str">
        <f ca="1">IFERROR(__xludf.DUMMYFUNCTION("""COMPUTED_VALUE"""),"Pantalla OPPO A54 5G")</f>
        <v>Pantalla OPPO A54 5G</v>
      </c>
      <c r="C192" s="75">
        <f ca="1">IFERROR(__xludf.DUMMYFUNCTION("""COMPUTED_VALUE"""),240)</f>
        <v>240</v>
      </c>
      <c r="D192" s="75">
        <f ca="1">IFERROR(__xludf.DUMMYFUNCTION("""COMPUTED_VALUE"""),50)</f>
        <v>50</v>
      </c>
      <c r="E192" s="76">
        <f ca="1">IFERROR(__xludf.DUMMYFUNCTION("""COMPUTED_VALUE"""),290)</f>
        <v>290</v>
      </c>
      <c r="F192" s="77">
        <f ca="1">IFERROR(__xludf.DUMMYFUNCTION("""COMPUTED_VALUE"""),10010446)</f>
        <v>10010446</v>
      </c>
      <c r="G192" s="77" t="str">
        <f t="shared" ca="1" si="0"/>
        <v>si</v>
      </c>
    </row>
    <row r="193" spans="1:7" ht="12.75" x14ac:dyDescent="0.2">
      <c r="A193" s="62">
        <f ca="1">IFERROR(__xludf.DUMMYFUNCTION("""COMPUTED_VALUE"""),10010507)</f>
        <v>10010507</v>
      </c>
      <c r="B193" s="62" t="str">
        <f ca="1">IFERROR(__xludf.DUMMYFUNCTION("""COMPUTED_VALUE"""),"Pantalla ZTE Blade A610")</f>
        <v>Pantalla ZTE Blade A610</v>
      </c>
      <c r="C193" s="75">
        <f ca="1">IFERROR(__xludf.DUMMYFUNCTION("""COMPUTED_VALUE"""),0)</f>
        <v>0</v>
      </c>
      <c r="D193" s="75">
        <f ca="1">IFERROR(__xludf.DUMMYFUNCTION("""COMPUTED_VALUE"""),0)</f>
        <v>0</v>
      </c>
      <c r="E193" s="76">
        <f ca="1">IFERROR(__xludf.DUMMYFUNCTION("""COMPUTED_VALUE"""),0)</f>
        <v>0</v>
      </c>
      <c r="F193" s="77">
        <f ca="1">IFERROR(__xludf.DUMMYFUNCTION("""COMPUTED_VALUE"""),10010507)</f>
        <v>10010507</v>
      </c>
      <c r="G193" s="77" t="str">
        <f t="shared" ca="1" si="0"/>
        <v>si</v>
      </c>
    </row>
    <row r="194" spans="1:7" ht="12.75" x14ac:dyDescent="0.2">
      <c r="A194" s="62">
        <f ca="1">IFERROR(__xludf.DUMMYFUNCTION("""COMPUTED_VALUE"""),10160316)</f>
        <v>10160316</v>
      </c>
      <c r="B194" s="62" t="str">
        <f ca="1">IFERROR(__xludf.DUMMYFUNCTION("""COMPUTED_VALUE"""),"Pantalla Realme 8 5g")</f>
        <v>Pantalla Realme 8 5g</v>
      </c>
      <c r="C194" s="75">
        <f ca="1">IFERROR(__xludf.DUMMYFUNCTION("""COMPUTED_VALUE"""),180)</f>
        <v>180</v>
      </c>
      <c r="D194" s="75">
        <f ca="1">IFERROR(__xludf.DUMMYFUNCTION("""COMPUTED_VALUE"""),50)</f>
        <v>50</v>
      </c>
      <c r="E194" s="76">
        <f ca="1">IFERROR(__xludf.DUMMYFUNCTION("""COMPUTED_VALUE"""),230)</f>
        <v>230</v>
      </c>
      <c r="F194" s="77">
        <f ca="1">IFERROR(__xludf.DUMMYFUNCTION("""COMPUTED_VALUE"""),10160316)</f>
        <v>10160316</v>
      </c>
      <c r="G194" s="77" t="str">
        <f t="shared" ca="1" si="0"/>
        <v>si</v>
      </c>
    </row>
    <row r="195" spans="1:7" ht="12.75" x14ac:dyDescent="0.2">
      <c r="A195" s="62">
        <f ca="1">IFERROR(__xludf.DUMMYFUNCTION("""COMPUTED_VALUE"""),10010500)</f>
        <v>10010500</v>
      </c>
      <c r="B195" s="62" t="str">
        <f ca="1">IFERROR(__xludf.DUMMYFUNCTION("""COMPUTED_VALUE"""),"Pantalla Realme C11 - C12")</f>
        <v>Pantalla Realme C11 - C12</v>
      </c>
      <c r="C195" s="75">
        <f ca="1">IFERROR(__xludf.DUMMYFUNCTION("""COMPUTED_VALUE"""),160)</f>
        <v>160</v>
      </c>
      <c r="D195" s="75">
        <f ca="1">IFERROR(__xludf.DUMMYFUNCTION("""COMPUTED_VALUE"""),50)</f>
        <v>50</v>
      </c>
      <c r="E195" s="76">
        <f ca="1">IFERROR(__xludf.DUMMYFUNCTION("""COMPUTED_VALUE"""),210)</f>
        <v>210</v>
      </c>
      <c r="F195" s="77">
        <f ca="1">IFERROR(__xludf.DUMMYFUNCTION("""COMPUTED_VALUE"""),10010500)</f>
        <v>10010500</v>
      </c>
      <c r="G195" s="77" t="str">
        <f t="shared" ca="1" si="0"/>
        <v>si</v>
      </c>
    </row>
    <row r="196" spans="1:7" ht="12.75" x14ac:dyDescent="0.2">
      <c r="A196" s="62">
        <f ca="1">IFERROR(__xludf.DUMMYFUNCTION("""COMPUTED_VALUE"""),10010054)</f>
        <v>10010054</v>
      </c>
      <c r="B196" s="62" t="str">
        <f ca="1">IFERROR(__xludf.DUMMYFUNCTION("""COMPUTED_VALUE"""),"Pantalla Huawei P7 Oled")</f>
        <v>Pantalla Huawei P7 Oled</v>
      </c>
      <c r="C196" s="75">
        <f ca="1">IFERROR(__xludf.DUMMYFUNCTION("""COMPUTED_VALUE"""),80)</f>
        <v>80</v>
      </c>
      <c r="D196" s="75">
        <f ca="1">IFERROR(__xludf.DUMMYFUNCTION("""COMPUTED_VALUE"""),0)</f>
        <v>0</v>
      </c>
      <c r="E196" s="76">
        <f ca="1">IFERROR(__xludf.DUMMYFUNCTION("""COMPUTED_VALUE"""),80)</f>
        <v>80</v>
      </c>
      <c r="F196" s="77">
        <f ca="1">IFERROR(__xludf.DUMMYFUNCTION("""COMPUTED_VALUE"""),10010054)</f>
        <v>10010054</v>
      </c>
      <c r="G196" s="77" t="str">
        <f t="shared" ca="1" si="0"/>
        <v>si</v>
      </c>
    </row>
    <row r="197" spans="1:7" ht="12.75" x14ac:dyDescent="0.2">
      <c r="A197" s="62">
        <f ca="1">IFERROR(__xludf.DUMMYFUNCTION("""COMPUTED_VALUE"""),10010056)</f>
        <v>10010056</v>
      </c>
      <c r="B197" s="62" t="str">
        <f ca="1">IFERROR(__xludf.DUMMYFUNCTION("""COMPUTED_VALUE"""),"Pantalla Huawei P8 Oled")</f>
        <v>Pantalla Huawei P8 Oled</v>
      </c>
      <c r="C197" s="75">
        <f ca="1">IFERROR(__xludf.DUMMYFUNCTION("""COMPUTED_VALUE"""),85)</f>
        <v>85</v>
      </c>
      <c r="D197" s="75">
        <f ca="1">IFERROR(__xludf.DUMMYFUNCTION("""COMPUTED_VALUE"""),0)</f>
        <v>0</v>
      </c>
      <c r="E197" s="76">
        <f ca="1">IFERROR(__xludf.DUMMYFUNCTION("""COMPUTED_VALUE"""),85)</f>
        <v>85</v>
      </c>
      <c r="F197" s="77">
        <f ca="1">IFERROR(__xludf.DUMMYFUNCTION("""COMPUTED_VALUE"""),10010056)</f>
        <v>10010056</v>
      </c>
      <c r="G197" s="77" t="str">
        <f t="shared" ca="1" si="0"/>
        <v>si</v>
      </c>
    </row>
    <row r="198" spans="1:7" ht="12.75" x14ac:dyDescent="0.2">
      <c r="A198" s="62">
        <f ca="1">IFERROR(__xludf.DUMMYFUNCTION("""COMPUTED_VALUE"""),10010059)</f>
        <v>10010059</v>
      </c>
      <c r="B198" s="62" t="str">
        <f ca="1">IFERROR(__xludf.DUMMYFUNCTION("""COMPUTED_VALUE"""),"Pantalla Huawei P9 Oled")</f>
        <v>Pantalla Huawei P9 Oled</v>
      </c>
      <c r="C198" s="75">
        <f ca="1">IFERROR(__xludf.DUMMYFUNCTION("""COMPUTED_VALUE"""),105)</f>
        <v>105</v>
      </c>
      <c r="D198" s="75">
        <f ca="1">IFERROR(__xludf.DUMMYFUNCTION("""COMPUTED_VALUE"""),0)</f>
        <v>0</v>
      </c>
      <c r="E198" s="76">
        <f ca="1">IFERROR(__xludf.DUMMYFUNCTION("""COMPUTED_VALUE"""),105)</f>
        <v>105</v>
      </c>
      <c r="F198" s="77">
        <f ca="1">IFERROR(__xludf.DUMMYFUNCTION("""COMPUTED_VALUE"""),10010059)</f>
        <v>10010059</v>
      </c>
      <c r="G198" s="77" t="str">
        <f t="shared" ca="1" si="0"/>
        <v>si</v>
      </c>
    </row>
    <row r="199" spans="1:7" ht="12.75" x14ac:dyDescent="0.2">
      <c r="A199" s="62">
        <f ca="1">IFERROR(__xludf.DUMMYFUNCTION("""COMPUTED_VALUE"""),10010057)</f>
        <v>10010057</v>
      </c>
      <c r="B199" s="62" t="str">
        <f ca="1">IFERROR(__xludf.DUMMYFUNCTION("""COMPUTED_VALUE"""),"Pantalla Huawei P9 Lite Oled")</f>
        <v>Pantalla Huawei P9 Lite Oled</v>
      </c>
      <c r="C199" s="75">
        <f ca="1">IFERROR(__xludf.DUMMYFUNCTION("""COMPUTED_VALUE"""),100)</f>
        <v>100</v>
      </c>
      <c r="D199" s="75">
        <f ca="1">IFERROR(__xludf.DUMMYFUNCTION("""COMPUTED_VALUE"""),0)</f>
        <v>0</v>
      </c>
      <c r="E199" s="76">
        <f ca="1">IFERROR(__xludf.DUMMYFUNCTION("""COMPUTED_VALUE"""),100)</f>
        <v>100</v>
      </c>
      <c r="F199" s="77">
        <f ca="1">IFERROR(__xludf.DUMMYFUNCTION("""COMPUTED_VALUE"""),10010057)</f>
        <v>10010057</v>
      </c>
      <c r="G199" s="77" t="str">
        <f t="shared" ca="1" si="0"/>
        <v>si</v>
      </c>
    </row>
    <row r="200" spans="1:7" ht="12.75" x14ac:dyDescent="0.2">
      <c r="A200" s="62">
        <f ca="1">IFERROR(__xludf.DUMMYFUNCTION("""COMPUTED_VALUE"""),10010021)</f>
        <v>10010021</v>
      </c>
      <c r="B200" s="62" t="str">
        <f ca="1">IFERROR(__xludf.DUMMYFUNCTION("""COMPUTED_VALUE"""),"Pantalla Huawei  P8 lite 2017 Oled P9 Lite 2017 (Nova Lite)Oled")</f>
        <v>Pantalla Huawei  P8 lite 2017 Oled P9 Lite 2017 (Nova Lite)Oled</v>
      </c>
      <c r="C200" s="75">
        <f ca="1">IFERROR(__xludf.DUMMYFUNCTION("""COMPUTED_VALUE"""),90)</f>
        <v>90</v>
      </c>
      <c r="D200" s="75">
        <f ca="1">IFERROR(__xludf.DUMMYFUNCTION("""COMPUTED_VALUE"""),0)</f>
        <v>0</v>
      </c>
      <c r="E200" s="76">
        <f ca="1">IFERROR(__xludf.DUMMYFUNCTION("""COMPUTED_VALUE"""),90)</f>
        <v>90</v>
      </c>
      <c r="F200" s="77">
        <f ca="1">IFERROR(__xludf.DUMMYFUNCTION("""COMPUTED_VALUE"""),10010021)</f>
        <v>10010021</v>
      </c>
      <c r="G200" s="77" t="str">
        <f t="shared" ca="1" si="0"/>
        <v>si</v>
      </c>
    </row>
    <row r="201" spans="1:7" ht="12.75" x14ac:dyDescent="0.2">
      <c r="A201" s="62">
        <f ca="1">IFERROR(__xludf.DUMMYFUNCTION("""COMPUTED_VALUE"""),10010061)</f>
        <v>10010061</v>
      </c>
      <c r="B201" s="62" t="str">
        <f ca="1">IFERROR(__xludf.DUMMYFUNCTION("""COMPUTED_VALUE"""),"Pantalla Huawei PSmart 2019 - 2020 / Honor 10 Lite  Oled")</f>
        <v>Pantalla Huawei PSmart 2019 - 2020 / Honor 10 Lite  Oled</v>
      </c>
      <c r="C201" s="75">
        <f ca="1">IFERROR(__xludf.DUMMYFUNCTION("""COMPUTED_VALUE"""),140)</f>
        <v>140</v>
      </c>
      <c r="D201" s="75">
        <f ca="1">IFERROR(__xludf.DUMMYFUNCTION("""COMPUTED_VALUE"""),30)</f>
        <v>30</v>
      </c>
      <c r="E201" s="76">
        <f ca="1">IFERROR(__xludf.DUMMYFUNCTION("""COMPUTED_VALUE"""),170)</f>
        <v>170</v>
      </c>
      <c r="F201" s="77">
        <f ca="1">IFERROR(__xludf.DUMMYFUNCTION("""COMPUTED_VALUE"""),10010061)</f>
        <v>10010061</v>
      </c>
      <c r="G201" s="77" t="str">
        <f t="shared" ca="1" si="0"/>
        <v>si</v>
      </c>
    </row>
    <row r="202" spans="1:7" ht="12.75" x14ac:dyDescent="0.2">
      <c r="A202" s="62">
        <f ca="1">IFERROR(__xludf.DUMMYFUNCTION("""COMPUTED_VALUE"""),10010418)</f>
        <v>10010418</v>
      </c>
      <c r="B202" s="62" t="str">
        <f ca="1">IFERROR(__xludf.DUMMYFUNCTION("""COMPUTED_VALUE"""),"Pantalla Huawei Psmart 2021 / Y7A")</f>
        <v>Pantalla Huawei Psmart 2021 / Y7A</v>
      </c>
      <c r="C202" s="75">
        <f ca="1">IFERROR(__xludf.DUMMYFUNCTION("""COMPUTED_VALUE"""),140)</f>
        <v>140</v>
      </c>
      <c r="D202" s="75">
        <f ca="1">IFERROR(__xludf.DUMMYFUNCTION("""COMPUTED_VALUE"""),0)</f>
        <v>0</v>
      </c>
      <c r="E202" s="76">
        <f ca="1">IFERROR(__xludf.DUMMYFUNCTION("""COMPUTED_VALUE"""),140)</f>
        <v>140</v>
      </c>
      <c r="F202" s="77">
        <f ca="1">IFERROR(__xludf.DUMMYFUNCTION("""COMPUTED_VALUE"""),10010418)</f>
        <v>10010418</v>
      </c>
      <c r="G202" s="77" t="str">
        <f t="shared" ca="1" si="0"/>
        <v>si</v>
      </c>
    </row>
    <row r="203" spans="1:7" ht="12.75" x14ac:dyDescent="0.2">
      <c r="A203" s="62">
        <f ca="1">IFERROR(__xludf.DUMMYFUNCTION("""COMPUTED_VALUE"""),10010060)</f>
        <v>10010060</v>
      </c>
      <c r="B203" s="62" t="str">
        <f ca="1">IFERROR(__xludf.DUMMYFUNCTION("""COMPUTED_VALUE"""),"Pantalla Huawei P9 Plus Oled")</f>
        <v>Pantalla Huawei P9 Plus Oled</v>
      </c>
      <c r="C203" s="75">
        <f ca="1">IFERROR(__xludf.DUMMYFUNCTION("""COMPUTED_VALUE"""),190)</f>
        <v>190</v>
      </c>
      <c r="D203" s="75">
        <f ca="1">IFERROR(__xludf.DUMMYFUNCTION("""COMPUTED_VALUE"""),0)</f>
        <v>0</v>
      </c>
      <c r="E203" s="76">
        <f ca="1">IFERROR(__xludf.DUMMYFUNCTION("""COMPUTED_VALUE"""),190)</f>
        <v>190</v>
      </c>
      <c r="F203" s="77">
        <f ca="1">IFERROR(__xludf.DUMMYFUNCTION("""COMPUTED_VALUE"""),10010060)</f>
        <v>10010060</v>
      </c>
      <c r="G203" s="77" t="str">
        <f t="shared" ca="1" si="0"/>
        <v>si</v>
      </c>
    </row>
    <row r="204" spans="1:7" ht="12.75" x14ac:dyDescent="0.2">
      <c r="A204" s="62">
        <f ca="1">IFERROR(__xludf.DUMMYFUNCTION("""COMPUTED_VALUE"""),10010043)</f>
        <v>10010043</v>
      </c>
      <c r="B204" s="62" t="str">
        <f ca="1">IFERROR(__xludf.DUMMYFUNCTION("""COMPUTED_VALUE"""),"Pantalla Huawei P10 Oled")</f>
        <v>Pantalla Huawei P10 Oled</v>
      </c>
      <c r="C204" s="75">
        <f ca="1">IFERROR(__xludf.DUMMYFUNCTION("""COMPUTED_VALUE"""),160)</f>
        <v>160</v>
      </c>
      <c r="D204" s="75">
        <f ca="1">IFERROR(__xludf.DUMMYFUNCTION("""COMPUTED_VALUE"""),0)</f>
        <v>0</v>
      </c>
      <c r="E204" s="76">
        <f ca="1">IFERROR(__xludf.DUMMYFUNCTION("""COMPUTED_VALUE"""),160)</f>
        <v>160</v>
      </c>
      <c r="F204" s="77">
        <f ca="1">IFERROR(__xludf.DUMMYFUNCTION("""COMPUTED_VALUE"""),10010043)</f>
        <v>10010043</v>
      </c>
      <c r="G204" s="77" t="str">
        <f t="shared" ca="1" si="0"/>
        <v>si</v>
      </c>
    </row>
    <row r="205" spans="1:7" ht="12.75" x14ac:dyDescent="0.2">
      <c r="A205" s="62">
        <f ca="1">IFERROR(__xludf.DUMMYFUNCTION("""COMPUTED_VALUE"""),10010042)</f>
        <v>10010042</v>
      </c>
      <c r="B205" s="62" t="str">
        <f ca="1">IFERROR(__xludf.DUMMYFUNCTION("""COMPUTED_VALUE"""),"Pantalla Huawei P10 Lite - P10 ite 2017 Oled")</f>
        <v>Pantalla Huawei P10 Lite - P10 ite 2017 Oled</v>
      </c>
      <c r="C205" s="75">
        <f ca="1">IFERROR(__xludf.DUMMYFUNCTION("""COMPUTED_VALUE"""),120)</f>
        <v>120</v>
      </c>
      <c r="D205" s="75">
        <f ca="1">IFERROR(__xludf.DUMMYFUNCTION("""COMPUTED_VALUE"""),0)</f>
        <v>0</v>
      </c>
      <c r="E205" s="76">
        <f ca="1">IFERROR(__xludf.DUMMYFUNCTION("""COMPUTED_VALUE"""),120)</f>
        <v>120</v>
      </c>
      <c r="F205" s="77">
        <f ca="1">IFERROR(__xludf.DUMMYFUNCTION("""COMPUTED_VALUE"""),10010042)</f>
        <v>10010042</v>
      </c>
      <c r="G205" s="77" t="str">
        <f t="shared" ca="1" si="0"/>
        <v>si</v>
      </c>
    </row>
    <row r="206" spans="1:7" ht="12.75" x14ac:dyDescent="0.2">
      <c r="A206" s="62">
        <f ca="1">IFERROR(__xludf.DUMMYFUNCTION("""COMPUTED_VALUE"""),10010045)</f>
        <v>10010045</v>
      </c>
      <c r="B206" s="62" t="str">
        <f ca="1">IFERROR(__xludf.DUMMYFUNCTION("""COMPUTED_VALUE"""),"Pantalla Huawei P10 Selfie Oled")</f>
        <v>Pantalla Huawei P10 Selfie Oled</v>
      </c>
      <c r="C206" s="75">
        <f ca="1">IFERROR(__xludf.DUMMYFUNCTION("""COMPUTED_VALUE"""),120)</f>
        <v>120</v>
      </c>
      <c r="D206" s="75">
        <f ca="1">IFERROR(__xludf.DUMMYFUNCTION("""COMPUTED_VALUE"""),0)</f>
        <v>0</v>
      </c>
      <c r="E206" s="76">
        <f ca="1">IFERROR(__xludf.DUMMYFUNCTION("""COMPUTED_VALUE"""),120)</f>
        <v>120</v>
      </c>
      <c r="F206" s="77">
        <f ca="1">IFERROR(__xludf.DUMMYFUNCTION("""COMPUTED_VALUE"""),10010045)</f>
        <v>10010045</v>
      </c>
      <c r="G206" s="77" t="str">
        <f t="shared" ca="1" si="0"/>
        <v>si</v>
      </c>
    </row>
    <row r="207" spans="1:7" ht="12.75" x14ac:dyDescent="0.2">
      <c r="A207" s="62">
        <f ca="1">IFERROR(__xludf.DUMMYFUNCTION("""COMPUTED_VALUE"""),10010044)</f>
        <v>10010044</v>
      </c>
      <c r="B207" s="62" t="str">
        <f ca="1">IFERROR(__xludf.DUMMYFUNCTION("""COMPUTED_VALUE"""),"Pantalla Huawei P10 Plus Oled")</f>
        <v>Pantalla Huawei P10 Plus Oled</v>
      </c>
      <c r="C207" s="75">
        <f ca="1">IFERROR(__xludf.DUMMYFUNCTION("""COMPUTED_VALUE"""),210)</f>
        <v>210</v>
      </c>
      <c r="D207" s="75">
        <f ca="1">IFERROR(__xludf.DUMMYFUNCTION("""COMPUTED_VALUE"""),0)</f>
        <v>0</v>
      </c>
      <c r="E207" s="76">
        <f ca="1">IFERROR(__xludf.DUMMYFUNCTION("""COMPUTED_VALUE"""),210)</f>
        <v>210</v>
      </c>
      <c r="F207" s="77">
        <f ca="1">IFERROR(__xludf.DUMMYFUNCTION("""COMPUTED_VALUE"""),10010044)</f>
        <v>10010044</v>
      </c>
      <c r="G207" s="77" t="str">
        <f t="shared" ca="1" si="0"/>
        <v>si</v>
      </c>
    </row>
    <row r="208" spans="1:7" ht="12.75" x14ac:dyDescent="0.2">
      <c r="A208" s="62">
        <f ca="1">IFERROR(__xludf.DUMMYFUNCTION("""COMPUTED_VALUE"""),10010047)</f>
        <v>10010047</v>
      </c>
      <c r="B208" s="62" t="str">
        <f ca="1">IFERROR(__xludf.DUMMYFUNCTION("""COMPUTED_VALUE"""),"Pantalla Huawei P20 Oled")</f>
        <v>Pantalla Huawei P20 Oled</v>
      </c>
      <c r="C208" s="75">
        <f ca="1">IFERROR(__xludf.DUMMYFUNCTION("""COMPUTED_VALUE"""),170)</f>
        <v>170</v>
      </c>
      <c r="D208" s="75">
        <f ca="1">IFERROR(__xludf.DUMMYFUNCTION("""COMPUTED_VALUE"""),20)</f>
        <v>20</v>
      </c>
      <c r="E208" s="76">
        <f ca="1">IFERROR(__xludf.DUMMYFUNCTION("""COMPUTED_VALUE"""),190)</f>
        <v>190</v>
      </c>
      <c r="F208" s="77">
        <f ca="1">IFERROR(__xludf.DUMMYFUNCTION("""COMPUTED_VALUE"""),10010047)</f>
        <v>10010047</v>
      </c>
      <c r="G208" s="77" t="str">
        <f t="shared" ca="1" si="0"/>
        <v>si</v>
      </c>
    </row>
    <row r="209" spans="1:7" ht="12.75" x14ac:dyDescent="0.2">
      <c r="A209" s="62">
        <f ca="1">IFERROR(__xludf.DUMMYFUNCTION("""COMPUTED_VALUE"""),10010048)</f>
        <v>10010048</v>
      </c>
      <c r="B209" s="62" t="str">
        <f ca="1">IFERROR(__xludf.DUMMYFUNCTION("""COMPUTED_VALUE"""),"Pantalla Huawei P20 Pro con ORG ")</f>
        <v xml:space="preserve">Pantalla Huawei P20 Pro con ORG </v>
      </c>
      <c r="C209" s="75">
        <f ca="1">IFERROR(__xludf.DUMMYFUNCTION("""COMPUTED_VALUE"""),340)</f>
        <v>340</v>
      </c>
      <c r="D209" s="75">
        <f ca="1">IFERROR(__xludf.DUMMYFUNCTION("""COMPUTED_VALUE"""),30)</f>
        <v>30</v>
      </c>
      <c r="E209" s="76">
        <f ca="1">IFERROR(__xludf.DUMMYFUNCTION("""COMPUTED_VALUE"""),370)</f>
        <v>370</v>
      </c>
      <c r="F209" s="77">
        <f ca="1">IFERROR(__xludf.DUMMYFUNCTION("""COMPUTED_VALUE"""),10010048)</f>
        <v>10010048</v>
      </c>
      <c r="G209" s="77" t="str">
        <f t="shared" ca="1" si="0"/>
        <v>si</v>
      </c>
    </row>
    <row r="210" spans="1:7" ht="12.75" x14ac:dyDescent="0.2">
      <c r="A210" s="62">
        <f ca="1">IFERROR(__xludf.DUMMYFUNCTION("""COMPUTED_VALUE"""),10010046)</f>
        <v>10010046</v>
      </c>
      <c r="B210" s="62" t="str">
        <f ca="1">IFERROR(__xludf.DUMMYFUNCTION("""COMPUTED_VALUE"""),"Pantalla Huawei P20 Lite Oled")</f>
        <v>Pantalla Huawei P20 Lite Oled</v>
      </c>
      <c r="C210" s="75">
        <f ca="1">IFERROR(__xludf.DUMMYFUNCTION("""COMPUTED_VALUE"""),120)</f>
        <v>120</v>
      </c>
      <c r="D210" s="75">
        <f ca="1">IFERROR(__xludf.DUMMYFUNCTION("""COMPUTED_VALUE"""),40)</f>
        <v>40</v>
      </c>
      <c r="E210" s="76">
        <f ca="1">IFERROR(__xludf.DUMMYFUNCTION("""COMPUTED_VALUE"""),160)</f>
        <v>160</v>
      </c>
      <c r="F210" s="77">
        <f ca="1">IFERROR(__xludf.DUMMYFUNCTION("""COMPUTED_VALUE"""),10010046)</f>
        <v>10010046</v>
      </c>
      <c r="G210" s="77" t="str">
        <f t="shared" ca="1" si="0"/>
        <v>si</v>
      </c>
    </row>
    <row r="211" spans="1:7" ht="12.75" x14ac:dyDescent="0.2">
      <c r="A211" s="62">
        <f ca="1">IFERROR(__xludf.DUMMYFUNCTION("""COMPUTED_VALUE"""),10010050)</f>
        <v>10010050</v>
      </c>
      <c r="B211" s="62" t="str">
        <f ca="1">IFERROR(__xludf.DUMMYFUNCTION("""COMPUTED_VALUE"""),"Pantalla Huawei P30 con marco ")</f>
        <v xml:space="preserve">Pantalla Huawei P30 con marco </v>
      </c>
      <c r="C211" s="75">
        <f ca="1">IFERROR(__xludf.DUMMYFUNCTION("""COMPUTED_VALUE"""),340)</f>
        <v>340</v>
      </c>
      <c r="D211" s="75">
        <f ca="1">IFERROR(__xludf.DUMMYFUNCTION("""COMPUTED_VALUE"""),30)</f>
        <v>30</v>
      </c>
      <c r="E211" s="76">
        <f ca="1">IFERROR(__xludf.DUMMYFUNCTION("""COMPUTED_VALUE"""),370)</f>
        <v>370</v>
      </c>
      <c r="F211" s="77">
        <f ca="1">IFERROR(__xludf.DUMMYFUNCTION("""COMPUTED_VALUE"""),10010050)</f>
        <v>10010050</v>
      </c>
      <c r="G211" s="77" t="str">
        <f t="shared" ca="1" si="0"/>
        <v>si</v>
      </c>
    </row>
    <row r="212" spans="1:7" ht="12.75" x14ac:dyDescent="0.2">
      <c r="A212" s="62">
        <f ca="1">IFERROR(__xludf.DUMMYFUNCTION("""COMPUTED_VALUE"""),10010052)</f>
        <v>10010052</v>
      </c>
      <c r="B212" s="62" t="str">
        <f ca="1">IFERROR(__xludf.DUMMYFUNCTION("""COMPUTED_VALUE"""),"Pantalla Huawei P30 Pro con Marco ")</f>
        <v xml:space="preserve">Pantalla Huawei P30 Pro con Marco </v>
      </c>
      <c r="C212" s="75">
        <f ca="1">IFERROR(__xludf.DUMMYFUNCTION("""COMPUTED_VALUE"""),340)</f>
        <v>340</v>
      </c>
      <c r="D212" s="75">
        <f ca="1">IFERROR(__xludf.DUMMYFUNCTION("""COMPUTED_VALUE"""),50)</f>
        <v>50</v>
      </c>
      <c r="E212" s="76">
        <f ca="1">IFERROR(__xludf.DUMMYFUNCTION("""COMPUTED_VALUE"""),390)</f>
        <v>390</v>
      </c>
      <c r="F212" s="77">
        <f ca="1">IFERROR(__xludf.DUMMYFUNCTION("""COMPUTED_VALUE"""),10010052)</f>
        <v>10010052</v>
      </c>
      <c r="G212" s="77" t="str">
        <f t="shared" ca="1" si="0"/>
        <v>si</v>
      </c>
    </row>
    <row r="213" spans="1:7" ht="12.75" x14ac:dyDescent="0.2">
      <c r="A213" s="62">
        <f ca="1">IFERROR(__xludf.DUMMYFUNCTION("""COMPUTED_VALUE"""),10010051)</f>
        <v>10010051</v>
      </c>
      <c r="B213" s="62" t="str">
        <f ca="1">IFERROR(__xludf.DUMMYFUNCTION("""COMPUTED_VALUE"""),"Pantalla Huawei P30 Lite Oled")</f>
        <v>Pantalla Huawei P30 Lite Oled</v>
      </c>
      <c r="C213" s="75">
        <f ca="1">IFERROR(__xludf.DUMMYFUNCTION("""COMPUTED_VALUE"""),140)</f>
        <v>140</v>
      </c>
      <c r="D213" s="75">
        <f ca="1">IFERROR(__xludf.DUMMYFUNCTION("""COMPUTED_VALUE"""),50)</f>
        <v>50</v>
      </c>
      <c r="E213" s="76">
        <f ca="1">IFERROR(__xludf.DUMMYFUNCTION("""COMPUTED_VALUE"""),190)</f>
        <v>190</v>
      </c>
      <c r="F213" s="77">
        <f ca="1">IFERROR(__xludf.DUMMYFUNCTION("""COMPUTED_VALUE"""),10010051)</f>
        <v>10010051</v>
      </c>
      <c r="G213" s="77" t="str">
        <f t="shared" ca="1" si="0"/>
        <v>si</v>
      </c>
    </row>
    <row r="214" spans="1:7" ht="12.75" x14ac:dyDescent="0.2">
      <c r="A214" s="62">
        <f ca="1">IFERROR(__xludf.DUMMYFUNCTION("""COMPUTED_VALUE"""),10010053)</f>
        <v>10010053</v>
      </c>
      <c r="B214" s="62" t="str">
        <f ca="1">IFERROR(__xludf.DUMMYFUNCTION("""COMPUTED_VALUE"""),"Pantalla Huawei P40 Lite / Nova 7i ")</f>
        <v xml:space="preserve">Pantalla Huawei P40 Lite / Nova 7i </v>
      </c>
      <c r="C214" s="75">
        <f ca="1">IFERROR(__xludf.DUMMYFUNCTION("""COMPUTED_VALUE"""),140)</f>
        <v>140</v>
      </c>
      <c r="D214" s="75">
        <f ca="1">IFERROR(__xludf.DUMMYFUNCTION("""COMPUTED_VALUE"""),50)</f>
        <v>50</v>
      </c>
      <c r="E214" s="76">
        <f ca="1">IFERROR(__xludf.DUMMYFUNCTION("""COMPUTED_VALUE"""),190)</f>
        <v>190</v>
      </c>
      <c r="F214" s="77">
        <f ca="1">IFERROR(__xludf.DUMMYFUNCTION("""COMPUTED_VALUE"""),10010053)</f>
        <v>10010053</v>
      </c>
      <c r="G214" s="77" t="str">
        <f t="shared" ca="1" si="0"/>
        <v>si</v>
      </c>
    </row>
    <row r="215" spans="1:7" ht="12.75" x14ac:dyDescent="0.2">
      <c r="A215" s="62">
        <f ca="1">IFERROR(__xludf.DUMMYFUNCTION("""COMPUTED_VALUE"""),10160157)</f>
        <v>10160157</v>
      </c>
      <c r="B215" s="62" t="str">
        <f ca="1">IFERROR(__xludf.DUMMYFUNCTION("""COMPUTED_VALUE"""),"Pantalla Huawei P40 + Frame")</f>
        <v>Pantalla Huawei P40 + Frame</v>
      </c>
      <c r="C215" s="75">
        <f ca="1">IFERROR(__xludf.DUMMYFUNCTION("""COMPUTED_VALUE"""),540)</f>
        <v>540</v>
      </c>
      <c r="D215" s="75">
        <f ca="1">IFERROR(__xludf.DUMMYFUNCTION("""COMPUTED_VALUE"""),50)</f>
        <v>50</v>
      </c>
      <c r="E215" s="76">
        <f ca="1">IFERROR(__xludf.DUMMYFUNCTION("""COMPUTED_VALUE"""),590)</f>
        <v>590</v>
      </c>
      <c r="F215" s="77">
        <f ca="1">IFERROR(__xludf.DUMMYFUNCTION("""COMPUTED_VALUE"""),10160157)</f>
        <v>10160157</v>
      </c>
      <c r="G215" s="77" t="str">
        <f t="shared" ca="1" si="0"/>
        <v>si</v>
      </c>
    </row>
    <row r="216" spans="1:7" ht="12.75" x14ac:dyDescent="0.2">
      <c r="A216" s="62">
        <f ca="1">IFERROR(__xludf.DUMMYFUNCTION("""COMPUTED_VALUE"""),10010426)</f>
        <v>10010426</v>
      </c>
      <c r="B216" s="62" t="str">
        <f ca="1">IFERROR(__xludf.DUMMYFUNCTION("""COMPUTED_VALUE"""),"Pantalla Huawei P40  Pro + Frame")</f>
        <v>Pantalla Huawei P40  Pro + Frame</v>
      </c>
      <c r="C216" s="75">
        <f ca="1">IFERROR(__xludf.DUMMYFUNCTION("""COMPUTED_VALUE"""),990)</f>
        <v>990</v>
      </c>
      <c r="D216" s="75">
        <f ca="1">IFERROR(__xludf.DUMMYFUNCTION("""COMPUTED_VALUE"""),0)</f>
        <v>0</v>
      </c>
      <c r="E216" s="76">
        <f ca="1">IFERROR(__xludf.DUMMYFUNCTION("""COMPUTED_VALUE"""),990)</f>
        <v>990</v>
      </c>
      <c r="F216" s="77">
        <f ca="1">IFERROR(__xludf.DUMMYFUNCTION("""COMPUTED_VALUE"""),10010426)</f>
        <v>10010426</v>
      </c>
      <c r="G216" s="77" t="str">
        <f t="shared" ca="1" si="0"/>
        <v>si</v>
      </c>
    </row>
    <row r="217" spans="1:7" ht="12.75" x14ac:dyDescent="0.2">
      <c r="A217" s="62">
        <f ca="1">IFERROR(__xludf.DUMMYFUNCTION("""COMPUTED_VALUE"""),10010035)</f>
        <v>10010035</v>
      </c>
      <c r="B217" s="62" t="str">
        <f ca="1">IFERROR(__xludf.DUMMYFUNCTION("""COMPUTED_VALUE"""),"Pantalla Huawei Mate 7 Oled")</f>
        <v>Pantalla Huawei Mate 7 Oled</v>
      </c>
      <c r="C217" s="75">
        <f ca="1">IFERROR(__xludf.DUMMYFUNCTION("""COMPUTED_VALUE"""),110)</f>
        <v>110</v>
      </c>
      <c r="D217" s="75">
        <f ca="1">IFERROR(__xludf.DUMMYFUNCTION("""COMPUTED_VALUE"""),0)</f>
        <v>0</v>
      </c>
      <c r="E217" s="76">
        <f ca="1">IFERROR(__xludf.DUMMYFUNCTION("""COMPUTED_VALUE"""),110)</f>
        <v>110</v>
      </c>
      <c r="F217" s="77">
        <f ca="1">IFERROR(__xludf.DUMMYFUNCTION("""COMPUTED_VALUE"""),10010035)</f>
        <v>10010035</v>
      </c>
      <c r="G217" s="77" t="str">
        <f t="shared" ca="1" si="0"/>
        <v>si</v>
      </c>
    </row>
    <row r="218" spans="1:7" ht="12.75" x14ac:dyDescent="0.2">
      <c r="A218" s="62">
        <f ca="1">IFERROR(__xludf.DUMMYFUNCTION("""COMPUTED_VALUE"""),10010036)</f>
        <v>10010036</v>
      </c>
      <c r="B218" s="62" t="str">
        <f ca="1">IFERROR(__xludf.DUMMYFUNCTION("""COMPUTED_VALUE"""),"Pantalla Huawei Mate 8 Oled")</f>
        <v>Pantalla Huawei Mate 8 Oled</v>
      </c>
      <c r="C218" s="75">
        <f ca="1">IFERROR(__xludf.DUMMYFUNCTION("""COMPUTED_VALUE"""),110)</f>
        <v>110</v>
      </c>
      <c r="D218" s="75">
        <f ca="1">IFERROR(__xludf.DUMMYFUNCTION("""COMPUTED_VALUE"""),0)</f>
        <v>0</v>
      </c>
      <c r="E218" s="76">
        <f ca="1">IFERROR(__xludf.DUMMYFUNCTION("""COMPUTED_VALUE"""),110)</f>
        <v>110</v>
      </c>
      <c r="F218" s="77">
        <f ca="1">IFERROR(__xludf.DUMMYFUNCTION("""COMPUTED_VALUE"""),10010036)</f>
        <v>10010036</v>
      </c>
      <c r="G218" s="77" t="str">
        <f t="shared" ca="1" si="0"/>
        <v>si</v>
      </c>
    </row>
    <row r="219" spans="1:7" ht="12.75" x14ac:dyDescent="0.2">
      <c r="A219" s="62">
        <f ca="1">IFERROR(__xludf.DUMMYFUNCTION("""COMPUTED_VALUE"""),10010038)</f>
        <v>10010038</v>
      </c>
      <c r="B219" s="62" t="str">
        <f ca="1">IFERROR(__xludf.DUMMYFUNCTION("""COMPUTED_VALUE"""),"Pantalla Huawei Mate 9 Oled")</f>
        <v>Pantalla Huawei Mate 9 Oled</v>
      </c>
      <c r="C219" s="75">
        <f ca="1">IFERROR(__xludf.DUMMYFUNCTION("""COMPUTED_VALUE"""),130)</f>
        <v>130</v>
      </c>
      <c r="D219" s="75">
        <f ca="1">IFERROR(__xludf.DUMMYFUNCTION("""COMPUTED_VALUE"""),0)</f>
        <v>0</v>
      </c>
      <c r="E219" s="76">
        <f ca="1">IFERROR(__xludf.DUMMYFUNCTION("""COMPUTED_VALUE"""),130)</f>
        <v>130</v>
      </c>
      <c r="F219" s="77">
        <f ca="1">IFERROR(__xludf.DUMMYFUNCTION("""COMPUTED_VALUE"""),10010038)</f>
        <v>10010038</v>
      </c>
      <c r="G219" s="77" t="str">
        <f t="shared" ca="1" si="0"/>
        <v>si</v>
      </c>
    </row>
    <row r="220" spans="1:7" ht="12.75" x14ac:dyDescent="0.2">
      <c r="A220" s="62">
        <f ca="1">IFERROR(__xludf.DUMMYFUNCTION("""COMPUTED_VALUE"""),10010037)</f>
        <v>10010037</v>
      </c>
      <c r="B220" s="62" t="str">
        <f ca="1">IFERROR(__xludf.DUMMYFUNCTION("""COMPUTED_VALUE"""),"Pantalla Huawei Mate 9 Lite Oled")</f>
        <v>Pantalla Huawei Mate 9 Lite Oled</v>
      </c>
      <c r="C220" s="75">
        <f ca="1">IFERROR(__xludf.DUMMYFUNCTION("""COMPUTED_VALUE"""),90)</f>
        <v>90</v>
      </c>
      <c r="D220" s="75">
        <f ca="1">IFERROR(__xludf.DUMMYFUNCTION("""COMPUTED_VALUE"""),0)</f>
        <v>0</v>
      </c>
      <c r="E220" s="76">
        <f ca="1">IFERROR(__xludf.DUMMYFUNCTION("""COMPUTED_VALUE"""),90)</f>
        <v>90</v>
      </c>
      <c r="F220" s="77">
        <f ca="1">IFERROR(__xludf.DUMMYFUNCTION("""COMPUTED_VALUE"""),10010037)</f>
        <v>10010037</v>
      </c>
      <c r="G220" s="77" t="str">
        <f t="shared" ca="1" si="0"/>
        <v>si</v>
      </c>
    </row>
    <row r="221" spans="1:7" ht="12.75" x14ac:dyDescent="0.2">
      <c r="A221" s="62">
        <f ca="1">IFERROR(__xludf.DUMMYFUNCTION("""COMPUTED_VALUE"""),10010030)</f>
        <v>10010030</v>
      </c>
      <c r="B221" s="62" t="str">
        <f ca="1">IFERROR(__xludf.DUMMYFUNCTION("""COMPUTED_VALUE"""),"Pantalla Huawei Mate 10 Oled")</f>
        <v>Pantalla Huawei Mate 10 Oled</v>
      </c>
      <c r="C221" s="75">
        <f ca="1">IFERROR(__xludf.DUMMYFUNCTION("""COMPUTED_VALUE"""),140)</f>
        <v>140</v>
      </c>
      <c r="D221" s="75">
        <f ca="1">IFERROR(__xludf.DUMMYFUNCTION("""COMPUTED_VALUE"""),0)</f>
        <v>0</v>
      </c>
      <c r="E221" s="76">
        <f ca="1">IFERROR(__xludf.DUMMYFUNCTION("""COMPUTED_VALUE"""),140)</f>
        <v>140</v>
      </c>
      <c r="F221" s="77">
        <f ca="1">IFERROR(__xludf.DUMMYFUNCTION("""COMPUTED_VALUE"""),10010030)</f>
        <v>10010030</v>
      </c>
      <c r="G221" s="77" t="str">
        <f t="shared" ca="1" si="0"/>
        <v>si</v>
      </c>
    </row>
    <row r="222" spans="1:7" ht="12.75" x14ac:dyDescent="0.2">
      <c r="A222" s="62">
        <f ca="1">IFERROR(__xludf.DUMMYFUNCTION("""COMPUTED_VALUE"""),10010031)</f>
        <v>10010031</v>
      </c>
      <c r="B222" s="62" t="str">
        <f ca="1">IFERROR(__xludf.DUMMYFUNCTION("""COMPUTED_VALUE"""),"Pantalla Huawei Mate 10 Pro Oled")</f>
        <v>Pantalla Huawei Mate 10 Pro Oled</v>
      </c>
      <c r="C222" s="75">
        <f ca="1">IFERROR(__xludf.DUMMYFUNCTION("""COMPUTED_VALUE"""),250)</f>
        <v>250</v>
      </c>
      <c r="D222" s="75">
        <f ca="1">IFERROR(__xludf.DUMMYFUNCTION("""COMPUTED_VALUE"""),100)</f>
        <v>100</v>
      </c>
      <c r="E222" s="76">
        <f ca="1">IFERROR(__xludf.DUMMYFUNCTION("""COMPUTED_VALUE"""),350)</f>
        <v>350</v>
      </c>
      <c r="F222" s="77">
        <f ca="1">IFERROR(__xludf.DUMMYFUNCTION("""COMPUTED_VALUE"""),10010031)</f>
        <v>10010031</v>
      </c>
      <c r="G222" s="77" t="str">
        <f t="shared" ca="1" si="0"/>
        <v>si</v>
      </c>
    </row>
    <row r="223" spans="1:7" ht="12.75" x14ac:dyDescent="0.2">
      <c r="A223" s="62">
        <f ca="1">IFERROR(__xludf.DUMMYFUNCTION("""COMPUTED_VALUE"""),10010032)</f>
        <v>10010032</v>
      </c>
      <c r="B223" s="62" t="str">
        <f ca="1">IFERROR(__xludf.DUMMYFUNCTION("""COMPUTED_VALUE"""),"Pantalla Huawei Mate 20 Lite Oled")</f>
        <v>Pantalla Huawei Mate 20 Lite Oled</v>
      </c>
      <c r="C223" s="75">
        <f ca="1">IFERROR(__xludf.DUMMYFUNCTION("""COMPUTED_VALUE"""),130)</f>
        <v>130</v>
      </c>
      <c r="D223" s="75">
        <f ca="1">IFERROR(__xludf.DUMMYFUNCTION("""COMPUTED_VALUE"""),30)</f>
        <v>30</v>
      </c>
      <c r="E223" s="76">
        <f ca="1">IFERROR(__xludf.DUMMYFUNCTION("""COMPUTED_VALUE"""),160)</f>
        <v>160</v>
      </c>
      <c r="F223" s="77">
        <f ca="1">IFERROR(__xludf.DUMMYFUNCTION("""COMPUTED_VALUE"""),10010032)</f>
        <v>10010032</v>
      </c>
      <c r="G223" s="77" t="str">
        <f t="shared" ca="1" si="0"/>
        <v>si</v>
      </c>
    </row>
    <row r="224" spans="1:7" ht="12.75" x14ac:dyDescent="0.2">
      <c r="A224" s="62">
        <f ca="1">IFERROR(__xludf.DUMMYFUNCTION("""COMPUTED_VALUE"""),10010033)</f>
        <v>10010033</v>
      </c>
      <c r="B224" s="62" t="str">
        <f ca="1">IFERROR(__xludf.DUMMYFUNCTION("""COMPUTED_VALUE"""),"Pantalla Huawei Mate 20 con Marco ")</f>
        <v xml:space="preserve">Pantalla Huawei Mate 20 con Marco </v>
      </c>
      <c r="C224" s="75">
        <f ca="1">IFERROR(__xludf.DUMMYFUNCTION("""COMPUTED_VALUE"""),370)</f>
        <v>370</v>
      </c>
      <c r="D224" s="75">
        <f ca="1">IFERROR(__xludf.DUMMYFUNCTION("""COMPUTED_VALUE"""),100)</f>
        <v>100</v>
      </c>
      <c r="E224" s="76">
        <f ca="1">IFERROR(__xludf.DUMMYFUNCTION("""COMPUTED_VALUE"""),470)</f>
        <v>470</v>
      </c>
      <c r="F224" s="77">
        <f ca="1">IFERROR(__xludf.DUMMYFUNCTION("""COMPUTED_VALUE"""),10010033)</f>
        <v>10010033</v>
      </c>
      <c r="G224" s="77" t="str">
        <f t="shared" ca="1" si="0"/>
        <v>si</v>
      </c>
    </row>
    <row r="225" spans="1:7" ht="12.75" x14ac:dyDescent="0.2">
      <c r="A225" s="62">
        <f ca="1">IFERROR(__xludf.DUMMYFUNCTION("""COMPUTED_VALUE"""),10010034)</f>
        <v>10010034</v>
      </c>
      <c r="B225" s="62" t="str">
        <f ca="1">IFERROR(__xludf.DUMMYFUNCTION("""COMPUTED_VALUE"""),"Pantalla Huawei Mate 20 Pro con Marco ")</f>
        <v xml:space="preserve">Pantalla Huawei Mate 20 Pro con Marco </v>
      </c>
      <c r="C225" s="75">
        <f ca="1">IFERROR(__xludf.DUMMYFUNCTION("""COMPUTED_VALUE"""),590)</f>
        <v>590</v>
      </c>
      <c r="D225" s="75">
        <f ca="1">IFERROR(__xludf.DUMMYFUNCTION("""COMPUTED_VALUE"""),100)</f>
        <v>100</v>
      </c>
      <c r="E225" s="76">
        <f ca="1">IFERROR(__xludf.DUMMYFUNCTION("""COMPUTED_VALUE"""),690)</f>
        <v>690</v>
      </c>
      <c r="F225" s="77">
        <f ca="1">IFERROR(__xludf.DUMMYFUNCTION("""COMPUTED_VALUE"""),10010034)</f>
        <v>10010034</v>
      </c>
      <c r="G225" s="77" t="str">
        <f t="shared" ca="1" si="0"/>
        <v>si</v>
      </c>
    </row>
    <row r="226" spans="1:7" ht="12.75" x14ac:dyDescent="0.2">
      <c r="A226" s="62">
        <f ca="1">IFERROR(__xludf.DUMMYFUNCTION("""COMPUTED_VALUE"""),10010039)</f>
        <v>10010039</v>
      </c>
      <c r="B226" s="62" t="str">
        <f ca="1">IFERROR(__xludf.DUMMYFUNCTION("""COMPUTED_VALUE"""),"Pantalla Huawei Mate S Oled")</f>
        <v>Pantalla Huawei Mate S Oled</v>
      </c>
      <c r="C226" s="75">
        <f ca="1">IFERROR(__xludf.DUMMYFUNCTION("""COMPUTED_VALUE"""),170)</f>
        <v>170</v>
      </c>
      <c r="D226" s="75">
        <f ca="1">IFERROR(__xludf.DUMMYFUNCTION("""COMPUTED_VALUE"""),0)</f>
        <v>0</v>
      </c>
      <c r="E226" s="76">
        <f ca="1">IFERROR(__xludf.DUMMYFUNCTION("""COMPUTED_VALUE"""),170)</f>
        <v>170</v>
      </c>
      <c r="F226" s="77">
        <f ca="1">IFERROR(__xludf.DUMMYFUNCTION("""COMPUTED_VALUE"""),10010039)</f>
        <v>10010039</v>
      </c>
      <c r="G226" s="77" t="str">
        <f t="shared" ca="1" si="0"/>
        <v>si</v>
      </c>
    </row>
    <row r="227" spans="1:7" ht="12.75" x14ac:dyDescent="0.2">
      <c r="A227" s="62">
        <f ca="1">IFERROR(__xludf.DUMMYFUNCTION("""COMPUTED_VALUE"""),10010066)</f>
        <v>10010066</v>
      </c>
      <c r="B227" s="62" t="str">
        <f ca="1">IFERROR(__xludf.DUMMYFUNCTION("""COMPUTED_VALUE"""),"Pantalla Huawei Y5 II Oled")</f>
        <v>Pantalla Huawei Y5 II Oled</v>
      </c>
      <c r="C227" s="75">
        <f ca="1">IFERROR(__xludf.DUMMYFUNCTION("""COMPUTED_VALUE"""),80)</f>
        <v>80</v>
      </c>
      <c r="D227" s="75">
        <f ca="1">IFERROR(__xludf.DUMMYFUNCTION("""COMPUTED_VALUE"""),0)</f>
        <v>0</v>
      </c>
      <c r="E227" s="76">
        <f ca="1">IFERROR(__xludf.DUMMYFUNCTION("""COMPUTED_VALUE"""),80)</f>
        <v>80</v>
      </c>
      <c r="F227" s="77">
        <f ca="1">IFERROR(__xludf.DUMMYFUNCTION("""COMPUTED_VALUE"""),10010066)</f>
        <v>10010066</v>
      </c>
      <c r="G227" s="77" t="str">
        <f t="shared" ca="1" si="0"/>
        <v>si</v>
      </c>
    </row>
    <row r="228" spans="1:7" ht="12.75" x14ac:dyDescent="0.2">
      <c r="A228" s="62">
        <f ca="1">IFERROR(__xludf.DUMMYFUNCTION("""COMPUTED_VALUE"""),10010063)</f>
        <v>10010063</v>
      </c>
      <c r="B228" s="62" t="str">
        <f ca="1">IFERROR(__xludf.DUMMYFUNCTION("""COMPUTED_VALUE"""),"Pantalla Huawei Y5 2017/Y6 2017 /Y5-2 2017/Y5 Pro/Y5-3 Oled")</f>
        <v>Pantalla Huawei Y5 2017/Y6 2017 /Y5-2 2017/Y5 Pro/Y5-3 Oled</v>
      </c>
      <c r="C228" s="75">
        <f ca="1">IFERROR(__xludf.DUMMYFUNCTION("""COMPUTED_VALUE"""),80)</f>
        <v>80</v>
      </c>
      <c r="D228" s="75">
        <f ca="1">IFERROR(__xludf.DUMMYFUNCTION("""COMPUTED_VALUE"""),0)</f>
        <v>0</v>
      </c>
      <c r="E228" s="76">
        <f ca="1">IFERROR(__xludf.DUMMYFUNCTION("""COMPUTED_VALUE"""),80)</f>
        <v>80</v>
      </c>
      <c r="F228" s="77">
        <f ca="1">IFERROR(__xludf.DUMMYFUNCTION("""COMPUTED_VALUE"""),10010063)</f>
        <v>10010063</v>
      </c>
      <c r="G228" s="77" t="str">
        <f t="shared" ca="1" si="0"/>
        <v>si</v>
      </c>
    </row>
    <row r="229" spans="1:7" ht="12.75" x14ac:dyDescent="0.2">
      <c r="A229" s="62">
        <f ca="1">IFERROR(__xludf.DUMMYFUNCTION("""COMPUTED_VALUE"""),10010064)</f>
        <v>10010064</v>
      </c>
      <c r="B229" s="62" t="str">
        <f ca="1">IFERROR(__xludf.DUMMYFUNCTION("""COMPUTED_VALUE"""),"Pantalla Huawei Y5 2018/Y5 Prime 2018 Oled")</f>
        <v>Pantalla Huawei Y5 2018/Y5 Prime 2018 Oled</v>
      </c>
      <c r="C229" s="75">
        <f ca="1">IFERROR(__xludf.DUMMYFUNCTION("""COMPUTED_VALUE"""),80)</f>
        <v>80</v>
      </c>
      <c r="D229" s="75">
        <f ca="1">IFERROR(__xludf.DUMMYFUNCTION("""COMPUTED_VALUE"""),0)</f>
        <v>0</v>
      </c>
      <c r="E229" s="76">
        <f ca="1">IFERROR(__xludf.DUMMYFUNCTION("""COMPUTED_VALUE"""),80)</f>
        <v>80</v>
      </c>
      <c r="F229" s="77">
        <f ca="1">IFERROR(__xludf.DUMMYFUNCTION("""COMPUTED_VALUE"""),10010064)</f>
        <v>10010064</v>
      </c>
      <c r="G229" s="77" t="str">
        <f t="shared" ca="1" si="0"/>
        <v>si</v>
      </c>
    </row>
    <row r="230" spans="1:7" ht="12.75" x14ac:dyDescent="0.2">
      <c r="A230" s="62">
        <f ca="1">IFERROR(__xludf.DUMMYFUNCTION("""COMPUTED_VALUE"""),10010065)</f>
        <v>10010065</v>
      </c>
      <c r="B230" s="62" t="str">
        <f ca="1">IFERROR(__xludf.DUMMYFUNCTION("""COMPUTED_VALUE"""),"Pantalla Huawei Y5 2019 Oled")</f>
        <v>Pantalla Huawei Y5 2019 Oled</v>
      </c>
      <c r="C230" s="75">
        <f ca="1">IFERROR(__xludf.DUMMYFUNCTION("""COMPUTED_VALUE"""),100)</f>
        <v>100</v>
      </c>
      <c r="D230" s="75">
        <f ca="1">IFERROR(__xludf.DUMMYFUNCTION("""COMPUTED_VALUE"""),0)</f>
        <v>0</v>
      </c>
      <c r="E230" s="76">
        <f ca="1">IFERROR(__xludf.DUMMYFUNCTION("""COMPUTED_VALUE"""),100)</f>
        <v>100</v>
      </c>
      <c r="F230" s="77">
        <f ca="1">IFERROR(__xludf.DUMMYFUNCTION("""COMPUTED_VALUE"""),10010065)</f>
        <v>10010065</v>
      </c>
      <c r="G230" s="77" t="str">
        <f t="shared" ca="1" si="0"/>
        <v>si</v>
      </c>
    </row>
    <row r="231" spans="1:7" ht="12.75" x14ac:dyDescent="0.2">
      <c r="A231" s="62">
        <f ca="1">IFERROR(__xludf.DUMMYFUNCTION("""COMPUTED_VALUE"""),10010022)</f>
        <v>10010022</v>
      </c>
      <c r="B231" s="62" t="str">
        <f ca="1">IFERROR(__xludf.DUMMYFUNCTION("""COMPUTED_VALUE"""),"Pantalla Huawei  Y3 2017=Y3 2018=Y5 lite=Y5 lite 2017=Y5 lite 2018")</f>
        <v>Pantalla Huawei  Y3 2017=Y3 2018=Y5 lite=Y5 lite 2017=Y5 lite 2018</v>
      </c>
      <c r="C231" s="75">
        <f ca="1">IFERROR(__xludf.DUMMYFUNCTION("""COMPUTED_VALUE"""),80)</f>
        <v>80</v>
      </c>
      <c r="D231" s="75">
        <f ca="1">IFERROR(__xludf.DUMMYFUNCTION("""COMPUTED_VALUE"""),0)</f>
        <v>0</v>
      </c>
      <c r="E231" s="76">
        <f ca="1">IFERROR(__xludf.DUMMYFUNCTION("""COMPUTED_VALUE"""),80)</f>
        <v>80</v>
      </c>
      <c r="F231" s="77">
        <f ca="1">IFERROR(__xludf.DUMMYFUNCTION("""COMPUTED_VALUE"""),10010022)</f>
        <v>10010022</v>
      </c>
      <c r="G231" s="77" t="str">
        <f t="shared" ca="1" si="0"/>
        <v>si</v>
      </c>
    </row>
    <row r="232" spans="1:7" ht="12.75" x14ac:dyDescent="0.2">
      <c r="A232" s="62">
        <f ca="1">IFERROR(__xludf.DUMMYFUNCTION("""COMPUTED_VALUE"""),10010070)</f>
        <v>10010070</v>
      </c>
      <c r="B232" s="62" t="str">
        <f ca="1">IFERROR(__xludf.DUMMYFUNCTION("""COMPUTED_VALUE"""),"Pantalla Huawei Y6 Oled")</f>
        <v>Pantalla Huawei Y6 Oled</v>
      </c>
      <c r="C232" s="75">
        <f ca="1">IFERROR(__xludf.DUMMYFUNCTION("""COMPUTED_VALUE"""),90)</f>
        <v>90</v>
      </c>
      <c r="D232" s="75">
        <f ca="1">IFERROR(__xludf.DUMMYFUNCTION("""COMPUTED_VALUE"""),0)</f>
        <v>0</v>
      </c>
      <c r="E232" s="76">
        <f ca="1">IFERROR(__xludf.DUMMYFUNCTION("""COMPUTED_VALUE"""),90)</f>
        <v>90</v>
      </c>
      <c r="F232" s="77">
        <f ca="1">IFERROR(__xludf.DUMMYFUNCTION("""COMPUTED_VALUE"""),10010070)</f>
        <v>10010070</v>
      </c>
      <c r="G232" s="77" t="str">
        <f t="shared" ca="1" si="0"/>
        <v>si</v>
      </c>
    </row>
    <row r="233" spans="1:7" ht="12.75" x14ac:dyDescent="0.2">
      <c r="A233" s="62">
        <f ca="1">IFERROR(__xludf.DUMMYFUNCTION("""COMPUTED_VALUE"""),10010069)</f>
        <v>10010069</v>
      </c>
      <c r="B233" s="62" t="str">
        <f ca="1">IFERROR(__xludf.DUMMYFUNCTION("""COMPUTED_VALUE"""),"Pantalla Huawei Y6 II Oled")</f>
        <v>Pantalla Huawei Y6 II Oled</v>
      </c>
      <c r="C233" s="75">
        <f ca="1">IFERROR(__xludf.DUMMYFUNCTION("""COMPUTED_VALUE"""),110)</f>
        <v>110</v>
      </c>
      <c r="D233" s="75">
        <f ca="1">IFERROR(__xludf.DUMMYFUNCTION("""COMPUTED_VALUE"""),0)</f>
        <v>0</v>
      </c>
      <c r="E233" s="76">
        <f ca="1">IFERROR(__xludf.DUMMYFUNCTION("""COMPUTED_VALUE"""),110)</f>
        <v>110</v>
      </c>
      <c r="F233" s="77">
        <f ca="1">IFERROR(__xludf.DUMMYFUNCTION("""COMPUTED_VALUE"""),10010069)</f>
        <v>10010069</v>
      </c>
      <c r="G233" s="77" t="str">
        <f t="shared" ca="1" si="0"/>
        <v>si</v>
      </c>
    </row>
    <row r="234" spans="1:7" ht="12.75" x14ac:dyDescent="0.2">
      <c r="A234" s="62">
        <f ca="1">IFERROR(__xludf.DUMMYFUNCTION("""COMPUTED_VALUE"""),10010067)</f>
        <v>10010067</v>
      </c>
      <c r="B234" s="62" t="str">
        <f ca="1">IFERROR(__xludf.DUMMYFUNCTION("""COMPUTED_VALUE"""),"Pantalla Huawei Y6 2018/Y6 Prime 2018 Oled")</f>
        <v>Pantalla Huawei Y6 2018/Y6 Prime 2018 Oled</v>
      </c>
      <c r="C234" s="75">
        <f ca="1">IFERROR(__xludf.DUMMYFUNCTION("""COMPUTED_VALUE"""),100)</f>
        <v>100</v>
      </c>
      <c r="D234" s="75">
        <f ca="1">IFERROR(__xludf.DUMMYFUNCTION("""COMPUTED_VALUE"""),0)</f>
        <v>0</v>
      </c>
      <c r="E234" s="76">
        <f ca="1">IFERROR(__xludf.DUMMYFUNCTION("""COMPUTED_VALUE"""),100)</f>
        <v>100</v>
      </c>
      <c r="F234" s="77">
        <f ca="1">IFERROR(__xludf.DUMMYFUNCTION("""COMPUTED_VALUE"""),10010067)</f>
        <v>10010067</v>
      </c>
      <c r="G234" s="77" t="str">
        <f t="shared" ca="1" si="0"/>
        <v>si</v>
      </c>
    </row>
    <row r="235" spans="1:7" ht="12.75" x14ac:dyDescent="0.2">
      <c r="A235" s="62">
        <f ca="1">IFERROR(__xludf.DUMMYFUNCTION("""COMPUTED_VALUE"""),10010382)</f>
        <v>10010382</v>
      </c>
      <c r="B235" s="62" t="str">
        <f ca="1">IFERROR(__xludf.DUMMYFUNCTION("""COMPUTED_VALUE"""),"Pantalla Huawei Y6P Oled")</f>
        <v>Pantalla Huawei Y6P Oled</v>
      </c>
      <c r="C235" s="75">
        <f ca="1">IFERROR(__xludf.DUMMYFUNCTION("""COMPUTED_VALUE"""),130)</f>
        <v>130</v>
      </c>
      <c r="D235" s="75">
        <f ca="1">IFERROR(__xludf.DUMMYFUNCTION("""COMPUTED_VALUE"""),50)</f>
        <v>50</v>
      </c>
      <c r="E235" s="76">
        <f ca="1">IFERROR(__xludf.DUMMYFUNCTION("""COMPUTED_VALUE"""),180)</f>
        <v>180</v>
      </c>
      <c r="F235" s="77">
        <f ca="1">IFERROR(__xludf.DUMMYFUNCTION("""COMPUTED_VALUE"""),10010382)</f>
        <v>10010382</v>
      </c>
      <c r="G235" s="77" t="str">
        <f t="shared" ca="1" si="0"/>
        <v>si</v>
      </c>
    </row>
    <row r="236" spans="1:7" ht="12.75" x14ac:dyDescent="0.2">
      <c r="A236" s="62">
        <f ca="1">IFERROR(__xludf.DUMMYFUNCTION("""COMPUTED_VALUE"""),10010071)</f>
        <v>10010071</v>
      </c>
      <c r="B236" s="62" t="str">
        <f ca="1">IFERROR(__xludf.DUMMYFUNCTION("""COMPUTED_VALUE"""),"Pantalla Huawei Y7 2017 Oled")</f>
        <v>Pantalla Huawei Y7 2017 Oled</v>
      </c>
      <c r="C236" s="75">
        <f ca="1">IFERROR(__xludf.DUMMYFUNCTION("""COMPUTED_VALUE"""),120)</f>
        <v>120</v>
      </c>
      <c r="D236" s="75">
        <f ca="1">IFERROR(__xludf.DUMMYFUNCTION("""COMPUTED_VALUE"""),0)</f>
        <v>0</v>
      </c>
      <c r="E236" s="76">
        <f ca="1">IFERROR(__xludf.DUMMYFUNCTION("""COMPUTED_VALUE"""),120)</f>
        <v>120</v>
      </c>
      <c r="F236" s="77">
        <f ca="1">IFERROR(__xludf.DUMMYFUNCTION("""COMPUTED_VALUE"""),10010071)</f>
        <v>10010071</v>
      </c>
      <c r="G236" s="77" t="str">
        <f t="shared" ca="1" si="0"/>
        <v>si</v>
      </c>
    </row>
    <row r="237" spans="1:7" ht="12.75" x14ac:dyDescent="0.2">
      <c r="A237" s="62">
        <f ca="1">IFERROR(__xludf.DUMMYFUNCTION("""COMPUTED_VALUE"""),10010023)</f>
        <v>10010023</v>
      </c>
      <c r="B237" s="62" t="str">
        <f ca="1">IFERROR(__xludf.DUMMYFUNCTION("""COMPUTED_VALUE"""),"Pantalla Huawei  Y7 2019=Y7 pro 2019=Y7 prime 2019 Oled")</f>
        <v>Pantalla Huawei  Y7 2019=Y7 pro 2019=Y7 prime 2019 Oled</v>
      </c>
      <c r="C237" s="75">
        <f ca="1">IFERROR(__xludf.DUMMYFUNCTION("""COMPUTED_VALUE"""),110)</f>
        <v>110</v>
      </c>
      <c r="D237" s="75">
        <f ca="1">IFERROR(__xludf.DUMMYFUNCTION("""COMPUTED_VALUE"""),50)</f>
        <v>50</v>
      </c>
      <c r="E237" s="76">
        <f ca="1">IFERROR(__xludf.DUMMYFUNCTION("""COMPUTED_VALUE"""),160)</f>
        <v>160</v>
      </c>
      <c r="F237" s="77">
        <f ca="1">IFERROR(__xludf.DUMMYFUNCTION("""COMPUTED_VALUE"""),10010023)</f>
        <v>10010023</v>
      </c>
      <c r="G237" s="77" t="str">
        <f t="shared" ca="1" si="0"/>
        <v>si</v>
      </c>
    </row>
    <row r="238" spans="1:7" ht="12.75" x14ac:dyDescent="0.2">
      <c r="A238" s="62">
        <f ca="1">IFERROR(__xludf.DUMMYFUNCTION("""COMPUTED_VALUE"""),10160050)</f>
        <v>10160050</v>
      </c>
      <c r="B238" s="62" t="str">
        <f ca="1">IFERROR(__xludf.DUMMYFUNCTION("""COMPUTED_VALUE"""),"Pantalla Huawei Y7P Oled")</f>
        <v>Pantalla Huawei Y7P Oled</v>
      </c>
      <c r="C238" s="75">
        <f ca="1">IFERROR(__xludf.DUMMYFUNCTION("""COMPUTED_VALUE"""),130)</f>
        <v>130</v>
      </c>
      <c r="D238" s="75">
        <f ca="1">IFERROR(__xludf.DUMMYFUNCTION("""COMPUTED_VALUE"""),50)</f>
        <v>50</v>
      </c>
      <c r="E238" s="76">
        <f ca="1">IFERROR(__xludf.DUMMYFUNCTION("""COMPUTED_VALUE"""),180)</f>
        <v>180</v>
      </c>
      <c r="F238" s="77">
        <f ca="1">IFERROR(__xludf.DUMMYFUNCTION("""COMPUTED_VALUE"""),10160050)</f>
        <v>10160050</v>
      </c>
      <c r="G238" s="77" t="str">
        <f t="shared" ca="1" si="0"/>
        <v>si</v>
      </c>
    </row>
    <row r="239" spans="1:7" ht="12.75" x14ac:dyDescent="0.2">
      <c r="A239" s="62">
        <f ca="1">IFERROR(__xludf.DUMMYFUNCTION("""COMPUTED_VALUE"""),10160020)</f>
        <v>10160020</v>
      </c>
      <c r="B239" s="62" t="str">
        <f ca="1">IFERROR(__xludf.DUMMYFUNCTION("""COMPUTED_VALUE"""),"Pantalla Huawei Y8P Oled")</f>
        <v>Pantalla Huawei Y8P Oled</v>
      </c>
      <c r="C239" s="75">
        <f ca="1">IFERROR(__xludf.DUMMYFUNCTION("""COMPUTED_VALUE"""),190)</f>
        <v>190</v>
      </c>
      <c r="D239" s="75">
        <f ca="1">IFERROR(__xludf.DUMMYFUNCTION("""COMPUTED_VALUE"""),50)</f>
        <v>50</v>
      </c>
      <c r="E239" s="76">
        <f ca="1">IFERROR(__xludf.DUMMYFUNCTION("""COMPUTED_VALUE"""),240)</f>
        <v>240</v>
      </c>
      <c r="F239" s="77">
        <f ca="1">IFERROR(__xludf.DUMMYFUNCTION("""COMPUTED_VALUE"""),10160020)</f>
        <v>10160020</v>
      </c>
      <c r="G239" s="77" t="str">
        <f t="shared" ca="1" si="0"/>
        <v>si</v>
      </c>
    </row>
    <row r="240" spans="1:7" ht="12.75" x14ac:dyDescent="0.2">
      <c r="A240" s="62">
        <f ca="1">IFERROR(__xludf.DUMMYFUNCTION("""COMPUTED_VALUE"""),10160021)</f>
        <v>10160021</v>
      </c>
      <c r="B240" s="62" t="str">
        <f ca="1">IFERROR(__xludf.DUMMYFUNCTION("""COMPUTED_VALUE"""),"Pantalla Huawei Y8S Oled/Y9 2019 Oled")</f>
        <v>Pantalla Huawei Y8S Oled/Y9 2019 Oled</v>
      </c>
      <c r="C240" s="75">
        <f ca="1">IFERROR(__xludf.DUMMYFUNCTION("""COMPUTED_VALUE"""),190)</f>
        <v>190</v>
      </c>
      <c r="D240" s="75">
        <f ca="1">IFERROR(__xludf.DUMMYFUNCTION("""COMPUTED_VALUE"""),50)</f>
        <v>50</v>
      </c>
      <c r="E240" s="76">
        <f ca="1">IFERROR(__xludf.DUMMYFUNCTION("""COMPUTED_VALUE"""),240)</f>
        <v>240</v>
      </c>
      <c r="F240" s="77">
        <f ca="1">IFERROR(__xludf.DUMMYFUNCTION("""COMPUTED_VALUE"""),10160021)</f>
        <v>10160021</v>
      </c>
      <c r="G240" s="77" t="str">
        <f t="shared" ca="1" si="0"/>
        <v>si</v>
      </c>
    </row>
    <row r="241" spans="1:7" ht="12.75" x14ac:dyDescent="0.2">
      <c r="A241" s="62">
        <f ca="1">IFERROR(__xludf.DUMMYFUNCTION("""COMPUTED_VALUE"""),10010075)</f>
        <v>10010075</v>
      </c>
      <c r="B241" s="62" t="str">
        <f ca="1">IFERROR(__xludf.DUMMYFUNCTION("""COMPUTED_VALUE"""),"Pantalla Huawei Y9/Y9 2018/Y9 Prime 2018 Oled")</f>
        <v>Pantalla Huawei Y9/Y9 2018/Y9 Prime 2018 Oled</v>
      </c>
      <c r="C241" s="75">
        <f ca="1">IFERROR(__xludf.DUMMYFUNCTION("""COMPUTED_VALUE"""),100)</f>
        <v>100</v>
      </c>
      <c r="D241" s="75">
        <f ca="1">IFERROR(__xludf.DUMMYFUNCTION("""COMPUTED_VALUE"""),50)</f>
        <v>50</v>
      </c>
      <c r="E241" s="76">
        <f ca="1">IFERROR(__xludf.DUMMYFUNCTION("""COMPUTED_VALUE"""),150)</f>
        <v>150</v>
      </c>
      <c r="F241" s="77">
        <f ca="1">IFERROR(__xludf.DUMMYFUNCTION("""COMPUTED_VALUE"""),10010075)</f>
        <v>10010075</v>
      </c>
      <c r="G241" s="77" t="str">
        <f t="shared" ca="1" si="0"/>
        <v>si</v>
      </c>
    </row>
    <row r="242" spans="1:7" ht="12.75" x14ac:dyDescent="0.2">
      <c r="A242" s="62">
        <f ca="1">IFERROR(__xludf.DUMMYFUNCTION("""COMPUTED_VALUE"""),10010073)</f>
        <v>10010073</v>
      </c>
      <c r="B242" s="62" t="str">
        <f ca="1">IFERROR(__xludf.DUMMYFUNCTION("""COMPUTED_VALUE"""),"Pantalla Huawei Y9 2019 Oled")</f>
        <v>Pantalla Huawei Y9 2019 Oled</v>
      </c>
      <c r="C242" s="75">
        <f ca="1">IFERROR(__xludf.DUMMYFUNCTION("""COMPUTED_VALUE"""),180)</f>
        <v>180</v>
      </c>
      <c r="D242" s="75">
        <f ca="1">IFERROR(__xludf.DUMMYFUNCTION("""COMPUTED_VALUE"""),50)</f>
        <v>50</v>
      </c>
      <c r="E242" s="76">
        <f ca="1">IFERROR(__xludf.DUMMYFUNCTION("""COMPUTED_VALUE"""),230)</f>
        <v>230</v>
      </c>
      <c r="F242" s="77">
        <f ca="1">IFERROR(__xludf.DUMMYFUNCTION("""COMPUTED_VALUE"""),10010073)</f>
        <v>10010073</v>
      </c>
      <c r="G242" s="77" t="str">
        <f t="shared" ca="1" si="0"/>
        <v>si</v>
      </c>
    </row>
    <row r="243" spans="1:7" ht="12.75" x14ac:dyDescent="0.2">
      <c r="A243" s="62">
        <f ca="1">IFERROR(__xludf.DUMMYFUNCTION("""COMPUTED_VALUE"""),10010074)</f>
        <v>10010074</v>
      </c>
      <c r="B243" s="62" t="str">
        <f ca="1">IFERROR(__xludf.DUMMYFUNCTION("""COMPUTED_VALUE"""),"Pantalla Huawei Y9 Prime 2019 - Y9S Oled - Honor 9X - Psmart Z ")</f>
        <v xml:space="preserve">Pantalla Huawei Y9 Prime 2019 - Y9S Oled - Honor 9X - Psmart Z </v>
      </c>
      <c r="C243" s="75">
        <f ca="1">IFERROR(__xludf.DUMMYFUNCTION("""COMPUTED_VALUE"""),160)</f>
        <v>160</v>
      </c>
      <c r="D243" s="75">
        <f ca="1">IFERROR(__xludf.DUMMYFUNCTION("""COMPUTED_VALUE"""),50)</f>
        <v>50</v>
      </c>
      <c r="E243" s="76">
        <f ca="1">IFERROR(__xludf.DUMMYFUNCTION("""COMPUTED_VALUE"""),210)</f>
        <v>210</v>
      </c>
      <c r="F243" s="77">
        <f ca="1">IFERROR(__xludf.DUMMYFUNCTION("""COMPUTED_VALUE"""),10010074)</f>
        <v>10010074</v>
      </c>
      <c r="G243" s="77" t="str">
        <f t="shared" ca="1" si="0"/>
        <v>si</v>
      </c>
    </row>
    <row r="244" spans="1:7" ht="12.75" x14ac:dyDescent="0.2">
      <c r="A244" s="62">
        <f ca="1">IFERROR(__xludf.DUMMYFUNCTION("""COMPUTED_VALUE"""),10010383)</f>
        <v>10010383</v>
      </c>
      <c r="B244" s="62" t="str">
        <f ca="1">IFERROR(__xludf.DUMMYFUNCTION("""COMPUTED_VALUE"""),"Pantalla Huawei Y9A")</f>
        <v>Pantalla Huawei Y9A</v>
      </c>
      <c r="C244" s="75">
        <f ca="1">IFERROR(__xludf.DUMMYFUNCTION("""COMPUTED_VALUE"""),180)</f>
        <v>180</v>
      </c>
      <c r="D244" s="75">
        <f ca="1">IFERROR(__xludf.DUMMYFUNCTION("""COMPUTED_VALUE"""),50)</f>
        <v>50</v>
      </c>
      <c r="E244" s="76">
        <f ca="1">IFERROR(__xludf.DUMMYFUNCTION("""COMPUTED_VALUE"""),230)</f>
        <v>230</v>
      </c>
      <c r="F244" s="77">
        <f ca="1">IFERROR(__xludf.DUMMYFUNCTION("""COMPUTED_VALUE"""),10010383)</f>
        <v>10010383</v>
      </c>
      <c r="G244" s="77" t="str">
        <f t="shared" ca="1" si="0"/>
        <v>si</v>
      </c>
    </row>
    <row r="245" spans="1:7" ht="12.75" x14ac:dyDescent="0.2">
      <c r="A245" s="62">
        <f ca="1">IFERROR(__xludf.DUMMYFUNCTION("""COMPUTED_VALUE"""),10010024)</f>
        <v>10010024</v>
      </c>
      <c r="B245" s="62" t="str">
        <f ca="1">IFERROR(__xludf.DUMMYFUNCTION("""COMPUTED_VALUE"""),"Pantalla Huawei G7 Oled")</f>
        <v>Pantalla Huawei G7 Oled</v>
      </c>
      <c r="C245" s="75">
        <f ca="1">IFERROR(__xludf.DUMMYFUNCTION("""COMPUTED_VALUE"""),80)</f>
        <v>80</v>
      </c>
      <c r="D245" s="75">
        <f ca="1">IFERROR(__xludf.DUMMYFUNCTION("""COMPUTED_VALUE"""),50)</f>
        <v>50</v>
      </c>
      <c r="E245" s="76">
        <f ca="1">IFERROR(__xludf.DUMMYFUNCTION("""COMPUTED_VALUE"""),130)</f>
        <v>130</v>
      </c>
      <c r="F245" s="77">
        <f ca="1">IFERROR(__xludf.DUMMYFUNCTION("""COMPUTED_VALUE"""),10010024)</f>
        <v>10010024</v>
      </c>
      <c r="G245" s="77" t="str">
        <f t="shared" ca="1" si="0"/>
        <v>si</v>
      </c>
    </row>
    <row r="246" spans="1:7" ht="12.75" x14ac:dyDescent="0.2">
      <c r="A246" s="62">
        <f ca="1">IFERROR(__xludf.DUMMYFUNCTION("""COMPUTED_VALUE"""),10010041)</f>
        <v>10010041</v>
      </c>
      <c r="B246" s="62" t="str">
        <f ca="1">IFERROR(__xludf.DUMMYFUNCTION("""COMPUTED_VALUE"""),"Pantalla Huawei Nova Plus  Oled")</f>
        <v>Pantalla Huawei Nova Plus  Oled</v>
      </c>
      <c r="C246" s="75">
        <f ca="1">IFERROR(__xludf.DUMMYFUNCTION("""COMPUTED_VALUE"""),120)</f>
        <v>120</v>
      </c>
      <c r="D246" s="75">
        <f ca="1">IFERROR(__xludf.DUMMYFUNCTION("""COMPUTED_VALUE"""),50)</f>
        <v>50</v>
      </c>
      <c r="E246" s="76">
        <f ca="1">IFERROR(__xludf.DUMMYFUNCTION("""COMPUTED_VALUE"""),170)</f>
        <v>170</v>
      </c>
      <c r="F246" s="77">
        <f ca="1">IFERROR(__xludf.DUMMYFUNCTION("""COMPUTED_VALUE"""),10010041)</f>
        <v>10010041</v>
      </c>
      <c r="G246" s="77" t="str">
        <f t="shared" ca="1" si="0"/>
        <v>si</v>
      </c>
    </row>
    <row r="247" spans="1:7" ht="12.75" x14ac:dyDescent="0.2">
      <c r="A247" s="62">
        <f ca="1">IFERROR(__xludf.DUMMYFUNCTION("""COMPUTED_VALUE"""),10010040)</f>
        <v>10010040</v>
      </c>
      <c r="B247" s="62" t="str">
        <f ca="1">IFERROR(__xludf.DUMMYFUNCTION("""COMPUTED_VALUE"""),"Pantalla Huawei Nova 5T / Honor 20 Oled")</f>
        <v>Pantalla Huawei Nova 5T / Honor 20 Oled</v>
      </c>
      <c r="C247" s="75">
        <f ca="1">IFERROR(__xludf.DUMMYFUNCTION("""COMPUTED_VALUE"""),160)</f>
        <v>160</v>
      </c>
      <c r="D247" s="75">
        <f ca="1">IFERROR(__xludf.DUMMYFUNCTION("""COMPUTED_VALUE"""),30)</f>
        <v>30</v>
      </c>
      <c r="E247" s="76">
        <f ca="1">IFERROR(__xludf.DUMMYFUNCTION("""COMPUTED_VALUE"""),190)</f>
        <v>190</v>
      </c>
      <c r="F247" s="77">
        <f ca="1">IFERROR(__xludf.DUMMYFUNCTION("""COMPUTED_VALUE"""),10010040)</f>
        <v>10010040</v>
      </c>
      <c r="G247" s="77" t="str">
        <f t="shared" ca="1" si="0"/>
        <v>si</v>
      </c>
    </row>
    <row r="248" spans="1:7" ht="12.75" x14ac:dyDescent="0.2">
      <c r="A248" s="62">
        <f ca="1">IFERROR(__xludf.DUMMYFUNCTION("""COMPUTED_VALUE"""),10160196)</f>
        <v>10160196</v>
      </c>
      <c r="B248" s="62" t="str">
        <f ca="1">IFERROR(__xludf.DUMMYFUNCTION("""COMPUTED_VALUE"""),"Pantalla Huawei Nova 8i / honor 50 lite")</f>
        <v>Pantalla Huawei Nova 8i / honor 50 lite</v>
      </c>
      <c r="C248" s="75">
        <f ca="1">IFERROR(__xludf.DUMMYFUNCTION("""COMPUTED_VALUE"""),200)</f>
        <v>200</v>
      </c>
      <c r="D248" s="75">
        <f ca="1">IFERROR(__xludf.DUMMYFUNCTION("""COMPUTED_VALUE"""),50)</f>
        <v>50</v>
      </c>
      <c r="E248" s="76">
        <f ca="1">IFERROR(__xludf.DUMMYFUNCTION("""COMPUTED_VALUE"""),250)</f>
        <v>250</v>
      </c>
      <c r="F248" s="77">
        <f ca="1">IFERROR(__xludf.DUMMYFUNCTION("""COMPUTED_VALUE"""),10160196)</f>
        <v>10160196</v>
      </c>
      <c r="G248" s="77" t="str">
        <f t="shared" ca="1" si="0"/>
        <v>si</v>
      </c>
    </row>
    <row r="249" spans="1:7" ht="12.75" x14ac:dyDescent="0.2">
      <c r="A249" s="62">
        <f ca="1">IFERROR(__xludf.DUMMYFUNCTION("""COMPUTED_VALUE"""),10010419)</f>
        <v>10010419</v>
      </c>
      <c r="B249" s="62" t="str">
        <f ca="1">IFERROR(__xludf.DUMMYFUNCTION("""COMPUTED_VALUE"""),"Pantalla Huawei Nova 9 / honor 50 5g")</f>
        <v>Pantalla Huawei Nova 9 / honor 50 5g</v>
      </c>
      <c r="C249" s="75">
        <f ca="1">IFERROR(__xludf.DUMMYFUNCTION("""COMPUTED_VALUE"""),590)</f>
        <v>590</v>
      </c>
      <c r="D249" s="75">
        <f ca="1">IFERROR(__xludf.DUMMYFUNCTION("""COMPUTED_VALUE"""),0)</f>
        <v>0</v>
      </c>
      <c r="E249" s="76">
        <f ca="1">IFERROR(__xludf.DUMMYFUNCTION("""COMPUTED_VALUE"""),590)</f>
        <v>590</v>
      </c>
      <c r="F249" s="77">
        <f ca="1">IFERROR(__xludf.DUMMYFUNCTION("""COMPUTED_VALUE"""),10010419)</f>
        <v>10010419</v>
      </c>
      <c r="G249" s="77" t="str">
        <f t="shared" ca="1" si="0"/>
        <v>si</v>
      </c>
    </row>
    <row r="250" spans="1:7" ht="12.75" x14ac:dyDescent="0.2">
      <c r="A250" s="62">
        <f ca="1">IFERROR(__xludf.DUMMYFUNCTION("""COMPUTED_VALUE"""),10010027)</f>
        <v>10010027</v>
      </c>
      <c r="B250" s="62" t="str">
        <f ca="1">IFERROR(__xludf.DUMMYFUNCTION("""COMPUTED_VALUE"""),"Pantalla Huawei Honor 7 Oled")</f>
        <v>Pantalla Huawei Honor 7 Oled</v>
      </c>
      <c r="C250" s="75">
        <f ca="1">IFERROR(__xludf.DUMMYFUNCTION("""COMPUTED_VALUE"""),90)</f>
        <v>90</v>
      </c>
      <c r="D250" s="75">
        <f ca="1">IFERROR(__xludf.DUMMYFUNCTION("""COMPUTED_VALUE"""),0)</f>
        <v>0</v>
      </c>
      <c r="E250" s="76">
        <f ca="1">IFERROR(__xludf.DUMMYFUNCTION("""COMPUTED_VALUE"""),90)</f>
        <v>90</v>
      </c>
      <c r="F250" s="77">
        <f ca="1">IFERROR(__xludf.DUMMYFUNCTION("""COMPUTED_VALUE"""),10010027)</f>
        <v>10010027</v>
      </c>
      <c r="G250" s="77" t="str">
        <f t="shared" ca="1" si="0"/>
        <v>si</v>
      </c>
    </row>
    <row r="251" spans="1:7" ht="12.75" x14ac:dyDescent="0.2">
      <c r="A251" s="62">
        <f ca="1">IFERROR(__xludf.DUMMYFUNCTION("""COMPUTED_VALUE"""),10010028)</f>
        <v>10010028</v>
      </c>
      <c r="B251" s="62" t="str">
        <f ca="1">IFERROR(__xludf.DUMMYFUNCTION("""COMPUTED_VALUE"""),"Pantalla Huawei Honor 8 Oled")</f>
        <v>Pantalla Huawei Honor 8 Oled</v>
      </c>
      <c r="C251" s="75">
        <f ca="1">IFERROR(__xludf.DUMMYFUNCTION("""COMPUTED_VALUE"""),90)</f>
        <v>90</v>
      </c>
      <c r="D251" s="75">
        <f ca="1">IFERROR(__xludf.DUMMYFUNCTION("""COMPUTED_VALUE"""),0)</f>
        <v>0</v>
      </c>
      <c r="E251" s="76">
        <f ca="1">IFERROR(__xludf.DUMMYFUNCTION("""COMPUTED_VALUE"""),90)</f>
        <v>90</v>
      </c>
      <c r="F251" s="77">
        <f ca="1">IFERROR(__xludf.DUMMYFUNCTION("""COMPUTED_VALUE"""),10010028)</f>
        <v>10010028</v>
      </c>
      <c r="G251" s="77" t="str">
        <f t="shared" ca="1" si="0"/>
        <v>si</v>
      </c>
    </row>
    <row r="252" spans="1:7" ht="12.75" x14ac:dyDescent="0.2">
      <c r="A252" s="62">
        <f ca="1">IFERROR(__xludf.DUMMYFUNCTION("""COMPUTED_VALUE"""),10010025)</f>
        <v>10010025</v>
      </c>
      <c r="B252" s="62" t="str">
        <f ca="1">IFERROR(__xludf.DUMMYFUNCTION("""COMPUTED_VALUE"""),"Pantalla Huawei GR3 Oled")</f>
        <v>Pantalla Huawei GR3 Oled</v>
      </c>
      <c r="C252" s="75">
        <f ca="1">IFERROR(__xludf.DUMMYFUNCTION("""COMPUTED_VALUE"""),85)</f>
        <v>85</v>
      </c>
      <c r="D252" s="75">
        <f ca="1">IFERROR(__xludf.DUMMYFUNCTION("""COMPUTED_VALUE"""),0)</f>
        <v>0</v>
      </c>
      <c r="E252" s="76">
        <f ca="1">IFERROR(__xludf.DUMMYFUNCTION("""COMPUTED_VALUE"""),85)</f>
        <v>85</v>
      </c>
      <c r="F252" s="77">
        <f ca="1">IFERROR(__xludf.DUMMYFUNCTION("""COMPUTED_VALUE"""),10010025)</f>
        <v>10010025</v>
      </c>
      <c r="G252" s="77" t="str">
        <f t="shared" ca="1" si="0"/>
        <v>si</v>
      </c>
    </row>
    <row r="253" spans="1:7" ht="12.75" x14ac:dyDescent="0.2">
      <c r="A253" s="62">
        <f ca="1">IFERROR(__xludf.DUMMYFUNCTION("""COMPUTED_VALUE"""),10010026)</f>
        <v>10010026</v>
      </c>
      <c r="B253" s="62" t="str">
        <f ca="1">IFERROR(__xludf.DUMMYFUNCTION("""COMPUTED_VALUE"""),"Pantalla Huawei GR5 - Honor 5X Oled")</f>
        <v>Pantalla Huawei GR5 - Honor 5X Oled</v>
      </c>
      <c r="C253" s="75">
        <f ca="1">IFERROR(__xludf.DUMMYFUNCTION("""COMPUTED_VALUE"""),85)</f>
        <v>85</v>
      </c>
      <c r="D253" s="75">
        <f ca="1">IFERROR(__xludf.DUMMYFUNCTION("""COMPUTED_VALUE"""),0)</f>
        <v>0</v>
      </c>
      <c r="E253" s="76">
        <f ca="1">IFERROR(__xludf.DUMMYFUNCTION("""COMPUTED_VALUE"""),85)</f>
        <v>85</v>
      </c>
      <c r="F253" s="77">
        <f ca="1">IFERROR(__xludf.DUMMYFUNCTION("""COMPUTED_VALUE"""),10010026)</f>
        <v>10010026</v>
      </c>
      <c r="G253" s="77" t="str">
        <f t="shared" ca="1" si="0"/>
        <v>si</v>
      </c>
    </row>
    <row r="254" spans="1:7" ht="12.75" x14ac:dyDescent="0.2">
      <c r="A254" s="62">
        <f ca="1">IFERROR(__xludf.DUMMYFUNCTION("""COMPUTED_VALUE"""),10010400)</f>
        <v>10010400</v>
      </c>
      <c r="B254" s="62" t="str">
        <f ca="1">IFERROR(__xludf.DUMMYFUNCTION("""COMPUTED_VALUE"""),"HW -T10")</f>
        <v>HW -T10</v>
      </c>
      <c r="C254" s="75">
        <f ca="1">IFERROR(__xludf.DUMMYFUNCTION("""COMPUTED_VALUE"""),240)</f>
        <v>240</v>
      </c>
      <c r="D254" s="75">
        <f ca="1">IFERROR(__xludf.DUMMYFUNCTION("""COMPUTED_VALUE"""),0)</f>
        <v>0</v>
      </c>
      <c r="E254" s="76">
        <f ca="1">IFERROR(__xludf.DUMMYFUNCTION("""COMPUTED_VALUE"""),240)</f>
        <v>240</v>
      </c>
      <c r="F254" s="77">
        <f ca="1">IFERROR(__xludf.DUMMYFUNCTION("""COMPUTED_VALUE"""),10010400)</f>
        <v>10010400</v>
      </c>
      <c r="G254" s="77" t="str">
        <f t="shared" ca="1" si="0"/>
        <v>si</v>
      </c>
    </row>
    <row r="255" spans="1:7" ht="12.75" x14ac:dyDescent="0.2">
      <c r="A255" s="62">
        <f ca="1">IFERROR(__xludf.DUMMYFUNCTION("""COMPUTED_VALUE"""),10010401)</f>
        <v>10010401</v>
      </c>
      <c r="B255" s="62" t="str">
        <f ca="1">IFERROR(__xludf.DUMMYFUNCTION("""COMPUTED_VALUE"""),"HW -T10s")</f>
        <v>HW -T10s</v>
      </c>
      <c r="C255" s="75">
        <f ca="1">IFERROR(__xludf.DUMMYFUNCTION("""COMPUTED_VALUE"""),270)</f>
        <v>270</v>
      </c>
      <c r="D255" s="75">
        <f ca="1">IFERROR(__xludf.DUMMYFUNCTION("""COMPUTED_VALUE"""),0)</f>
        <v>0</v>
      </c>
      <c r="E255" s="76">
        <f ca="1">IFERROR(__xludf.DUMMYFUNCTION("""COMPUTED_VALUE"""),270)</f>
        <v>270</v>
      </c>
      <c r="F255" s="77">
        <f ca="1">IFERROR(__xludf.DUMMYFUNCTION("""COMPUTED_VALUE"""),10010401)</f>
        <v>10010401</v>
      </c>
      <c r="G255" s="77" t="str">
        <f t="shared" ca="1" si="0"/>
        <v>si</v>
      </c>
    </row>
    <row r="256" spans="1:7" ht="12.75" x14ac:dyDescent="0.2">
      <c r="A256" s="62">
        <f ca="1">IFERROR(__xludf.DUMMYFUNCTION("""COMPUTED_VALUE"""),10010402)</f>
        <v>10010402</v>
      </c>
      <c r="B256" s="62" t="str">
        <f ca="1">IFERROR(__xludf.DUMMYFUNCTION("""COMPUTED_VALUE"""),"HW -T8")</f>
        <v>HW -T8</v>
      </c>
      <c r="C256" s="75">
        <f ca="1">IFERROR(__xludf.DUMMYFUNCTION("""COMPUTED_VALUE"""),240)</f>
        <v>240</v>
      </c>
      <c r="D256" s="75">
        <f ca="1">IFERROR(__xludf.DUMMYFUNCTION("""COMPUTED_VALUE"""),0)</f>
        <v>0</v>
      </c>
      <c r="E256" s="76">
        <f ca="1">IFERROR(__xludf.DUMMYFUNCTION("""COMPUTED_VALUE"""),240)</f>
        <v>240</v>
      </c>
      <c r="F256" s="77">
        <f ca="1">IFERROR(__xludf.DUMMYFUNCTION("""COMPUTED_VALUE"""),10010402)</f>
        <v>10010402</v>
      </c>
      <c r="G256" s="77" t="str">
        <f t="shared" ca="1" si="0"/>
        <v>si</v>
      </c>
    </row>
    <row r="257" spans="1:7" ht="12.75" x14ac:dyDescent="0.2">
      <c r="A257" s="62">
        <f ca="1">IFERROR(__xludf.DUMMYFUNCTION("""COMPUTED_VALUE"""),10010403)</f>
        <v>10010403</v>
      </c>
      <c r="B257" s="62" t="str">
        <f ca="1">IFERROR(__xludf.DUMMYFUNCTION("""COMPUTED_VALUE"""),"HW -T3-10")</f>
        <v>HW -T3-10</v>
      </c>
      <c r="C257" s="75">
        <f ca="1">IFERROR(__xludf.DUMMYFUNCTION("""COMPUTED_VALUE"""),270)</f>
        <v>270</v>
      </c>
      <c r="D257" s="75">
        <f ca="1">IFERROR(__xludf.DUMMYFUNCTION("""COMPUTED_VALUE"""),0)</f>
        <v>0</v>
      </c>
      <c r="E257" s="76">
        <f ca="1">IFERROR(__xludf.DUMMYFUNCTION("""COMPUTED_VALUE"""),270)</f>
        <v>270</v>
      </c>
      <c r="F257" s="77">
        <f ca="1">IFERROR(__xludf.DUMMYFUNCTION("""COMPUTED_VALUE"""),10010403)</f>
        <v>10010403</v>
      </c>
      <c r="G257" s="77" t="str">
        <f t="shared" ref="G257:G511" ca="1" si="1">IF(F257=A257,"si","no")</f>
        <v>si</v>
      </c>
    </row>
    <row r="258" spans="1:7" ht="12.75" x14ac:dyDescent="0.2">
      <c r="A258" s="62">
        <f ca="1">IFERROR(__xludf.DUMMYFUNCTION("""COMPUTED_VALUE"""),10160192)</f>
        <v>10160192</v>
      </c>
      <c r="B258" s="62" t="str">
        <f ca="1">IFERROR(__xludf.DUMMYFUNCTION("""COMPUTED_VALUE"""),"HW -T5 - 10")</f>
        <v>HW -T5 - 10</v>
      </c>
      <c r="C258" s="75">
        <f ca="1">IFERROR(__xludf.DUMMYFUNCTION("""COMPUTED_VALUE"""),290)</f>
        <v>290</v>
      </c>
      <c r="D258" s="75">
        <f ca="1">IFERROR(__xludf.DUMMYFUNCTION("""COMPUTED_VALUE"""),0)</f>
        <v>0</v>
      </c>
      <c r="E258" s="76">
        <f ca="1">IFERROR(__xludf.DUMMYFUNCTION("""COMPUTED_VALUE"""),290)</f>
        <v>290</v>
      </c>
      <c r="F258" s="77">
        <f ca="1">IFERROR(__xludf.DUMMYFUNCTION("""COMPUTED_VALUE"""),10160192)</f>
        <v>10160192</v>
      </c>
      <c r="G258" s="77" t="str">
        <f t="shared" ca="1" si="1"/>
        <v>si</v>
      </c>
    </row>
    <row r="259" spans="1:7" ht="12.75" x14ac:dyDescent="0.2">
      <c r="A259" s="62">
        <f ca="1">IFERROR(__xludf.DUMMYFUNCTION("""COMPUTED_VALUE"""),10160195)</f>
        <v>10160195</v>
      </c>
      <c r="B259" s="62" t="str">
        <f ca="1">IFERROR(__xludf.DUMMYFUNCTION("""COMPUTED_VALUE"""),"Pantalla Huawei P40 Lite 5G")</f>
        <v>Pantalla Huawei P40 Lite 5G</v>
      </c>
      <c r="C259" s="75">
        <f ca="1">IFERROR(__xludf.DUMMYFUNCTION("""COMPUTED_VALUE"""),150)</f>
        <v>150</v>
      </c>
      <c r="D259" s="75">
        <f ca="1">IFERROR(__xludf.DUMMYFUNCTION("""COMPUTED_VALUE"""),50)</f>
        <v>50</v>
      </c>
      <c r="E259" s="76">
        <f ca="1">IFERROR(__xludf.DUMMYFUNCTION("""COMPUTED_VALUE"""),200)</f>
        <v>200</v>
      </c>
      <c r="F259" s="77">
        <f ca="1">IFERROR(__xludf.DUMMYFUNCTION("""COMPUTED_VALUE"""),10160195)</f>
        <v>10160195</v>
      </c>
      <c r="G259" s="77" t="str">
        <f t="shared" ca="1" si="1"/>
        <v>si</v>
      </c>
    </row>
    <row r="260" spans="1:7" ht="12.75" x14ac:dyDescent="0.2">
      <c r="A260" s="62">
        <f ca="1">IFERROR(__xludf.DUMMYFUNCTION("""COMPUTED_VALUE"""),10010477)</f>
        <v>10010477</v>
      </c>
      <c r="B260" s="62" t="str">
        <f ca="1">IFERROR(__xludf.DUMMYFUNCTION("""COMPUTED_VALUE"""),"HW - BAH3-W09")</f>
        <v>HW - BAH3-W09</v>
      </c>
      <c r="C260" s="75">
        <f ca="1">IFERROR(__xludf.DUMMYFUNCTION("""COMPUTED_VALUE"""),300)</f>
        <v>300</v>
      </c>
      <c r="D260" s="75">
        <f ca="1">IFERROR(__xludf.DUMMYFUNCTION("""COMPUTED_VALUE"""),0)</f>
        <v>0</v>
      </c>
      <c r="E260" s="76">
        <f ca="1">IFERROR(__xludf.DUMMYFUNCTION("""COMPUTED_VALUE"""),300)</f>
        <v>300</v>
      </c>
      <c r="F260" s="77">
        <f ca="1">IFERROR(__xludf.DUMMYFUNCTION("""COMPUTED_VALUE"""),10010477)</f>
        <v>10010477</v>
      </c>
      <c r="G260" s="77" t="str">
        <f t="shared" ca="1" si="1"/>
        <v>si</v>
      </c>
    </row>
    <row r="261" spans="1:7" ht="12.75" x14ac:dyDescent="0.2">
      <c r="A261" s="62">
        <f ca="1">IFERROR(__xludf.DUMMYFUNCTION("""COMPUTED_VALUE"""),10010478)</f>
        <v>10010478</v>
      </c>
      <c r="B261" s="62" t="str">
        <f ca="1">IFERROR(__xludf.DUMMYFUNCTION("""COMPUTED_VALUE"""),"HW - BAH2 L09 - BAH2 W19")</f>
        <v>HW - BAH2 L09 - BAH2 W19</v>
      </c>
      <c r="C261" s="75">
        <f ca="1">IFERROR(__xludf.DUMMYFUNCTION("""COMPUTED_VALUE"""),300)</f>
        <v>300</v>
      </c>
      <c r="D261" s="75">
        <f ca="1">IFERROR(__xludf.DUMMYFUNCTION("""COMPUTED_VALUE"""),0)</f>
        <v>0</v>
      </c>
      <c r="E261" s="76">
        <f ca="1">IFERROR(__xludf.DUMMYFUNCTION("""COMPUTED_VALUE"""),300)</f>
        <v>300</v>
      </c>
      <c r="F261" s="77">
        <f ca="1">IFERROR(__xludf.DUMMYFUNCTION("""COMPUTED_VALUE"""),10010478)</f>
        <v>10010478</v>
      </c>
      <c r="G261" s="77" t="str">
        <f t="shared" ca="1" si="1"/>
        <v>si</v>
      </c>
    </row>
    <row r="262" spans="1:7" ht="12.75" x14ac:dyDescent="0.2">
      <c r="A262" s="62">
        <f ca="1">IFERROR(__xludf.DUMMYFUNCTION("""COMPUTED_VALUE"""),10010447)</f>
        <v>10010447</v>
      </c>
      <c r="B262" s="62" t="str">
        <f ca="1">IFERROR(__xludf.DUMMYFUNCTION("""COMPUTED_VALUE"""),"Pantalla Huawei Mate 30 + Frame")</f>
        <v>Pantalla Huawei Mate 30 + Frame</v>
      </c>
      <c r="C262" s="75">
        <f ca="1">IFERROR(__xludf.DUMMYFUNCTION("""COMPUTED_VALUE"""),750)</f>
        <v>750</v>
      </c>
      <c r="D262" s="75">
        <f ca="1">IFERROR(__xludf.DUMMYFUNCTION("""COMPUTED_VALUE"""),90)</f>
        <v>90</v>
      </c>
      <c r="E262" s="76">
        <f ca="1">IFERROR(__xludf.DUMMYFUNCTION("""COMPUTED_VALUE"""),840)</f>
        <v>840</v>
      </c>
      <c r="F262" s="77">
        <f ca="1">IFERROR(__xludf.DUMMYFUNCTION("""COMPUTED_VALUE"""),10010447)</f>
        <v>10010447</v>
      </c>
      <c r="G262" s="77" t="str">
        <f t="shared" ca="1" si="1"/>
        <v>si</v>
      </c>
    </row>
    <row r="263" spans="1:7" ht="12.75" x14ac:dyDescent="0.2">
      <c r="A263" s="62">
        <f ca="1">IFERROR(__xludf.DUMMYFUNCTION("""COMPUTED_VALUE"""),10010448)</f>
        <v>10010448</v>
      </c>
      <c r="B263" s="62" t="str">
        <f ca="1">IFERROR(__xludf.DUMMYFUNCTION("""COMPUTED_VALUE"""),"Pantalla Huawei Mate 30 Pro + Frame")</f>
        <v>Pantalla Huawei Mate 30 Pro + Frame</v>
      </c>
      <c r="C263" s="75">
        <f ca="1">IFERROR(__xludf.DUMMYFUNCTION("""COMPUTED_VALUE"""),1150)</f>
        <v>1150</v>
      </c>
      <c r="D263" s="75">
        <f ca="1">IFERROR(__xludf.DUMMYFUNCTION("""COMPUTED_VALUE"""),40)</f>
        <v>40</v>
      </c>
      <c r="E263" s="76">
        <f ca="1">IFERROR(__xludf.DUMMYFUNCTION("""COMPUTED_VALUE"""),1190)</f>
        <v>1190</v>
      </c>
      <c r="F263" s="77">
        <f ca="1">IFERROR(__xludf.DUMMYFUNCTION("""COMPUTED_VALUE"""),10010448)</f>
        <v>10010448</v>
      </c>
      <c r="G263" s="77" t="str">
        <f t="shared" ca="1" si="1"/>
        <v>si</v>
      </c>
    </row>
    <row r="264" spans="1:7" ht="12.75" x14ac:dyDescent="0.2">
      <c r="A264" s="62">
        <f ca="1">IFERROR(__xludf.DUMMYFUNCTION("""COMPUTED_VALUE"""),10010449)</f>
        <v>10010449</v>
      </c>
      <c r="B264" s="62" t="str">
        <f ca="1">IFERROR(__xludf.DUMMYFUNCTION("""COMPUTED_VALUE"""),"Pantalla Nova Y60")</f>
        <v>Pantalla Nova Y60</v>
      </c>
      <c r="C264" s="75">
        <f ca="1">IFERROR(__xludf.DUMMYFUNCTION("""COMPUTED_VALUE"""),150)</f>
        <v>150</v>
      </c>
      <c r="D264" s="75">
        <f ca="1">IFERROR(__xludf.DUMMYFUNCTION("""COMPUTED_VALUE"""),50)</f>
        <v>50</v>
      </c>
      <c r="E264" s="76">
        <f ca="1">IFERROR(__xludf.DUMMYFUNCTION("""COMPUTED_VALUE"""),200)</f>
        <v>200</v>
      </c>
      <c r="F264" s="77">
        <f ca="1">IFERROR(__xludf.DUMMYFUNCTION("""COMPUTED_VALUE"""),10010449)</f>
        <v>10010449</v>
      </c>
      <c r="G264" s="77" t="str">
        <f t="shared" ca="1" si="1"/>
        <v>si</v>
      </c>
    </row>
    <row r="265" spans="1:7" ht="12.75" x14ac:dyDescent="0.2">
      <c r="A265" s="62">
        <f ca="1">IFERROR(__xludf.DUMMYFUNCTION("""COMPUTED_VALUE"""),10010483)</f>
        <v>10010483</v>
      </c>
      <c r="B265" s="62" t="str">
        <f ca="1">IFERROR(__xludf.DUMMYFUNCTION("""COMPUTED_VALUE"""),"Pantalla Huawei M5 Lite ")</f>
        <v xml:space="preserve">Pantalla Huawei M5 Lite </v>
      </c>
      <c r="C265" s="75">
        <f ca="1">IFERROR(__xludf.DUMMYFUNCTION("""COMPUTED_VALUE"""),260)</f>
        <v>260</v>
      </c>
      <c r="D265" s="75">
        <f ca="1">IFERROR(__xludf.DUMMYFUNCTION("""COMPUTED_VALUE"""),30)</f>
        <v>30</v>
      </c>
      <c r="E265" s="76">
        <f ca="1">IFERROR(__xludf.DUMMYFUNCTION("""COMPUTED_VALUE"""),290)</f>
        <v>290</v>
      </c>
      <c r="F265" s="77">
        <f ca="1">IFERROR(__xludf.DUMMYFUNCTION("""COMPUTED_VALUE"""),10010483)</f>
        <v>10010483</v>
      </c>
      <c r="G265" s="77" t="str">
        <f t="shared" ca="1" si="1"/>
        <v>si</v>
      </c>
    </row>
    <row r="266" spans="1:7" ht="12.75" x14ac:dyDescent="0.2">
      <c r="A266" s="62">
        <f ca="1">IFERROR(__xludf.DUMMYFUNCTION("""COMPUTED_VALUE"""),10010503)</f>
        <v>10010503</v>
      </c>
      <c r="B266" s="62" t="str">
        <f ca="1">IFERROR(__xludf.DUMMYFUNCTION("""COMPUTED_VALUE"""),"Pantallas Huawei Honor 8X ")</f>
        <v xml:space="preserve">Pantallas Huawei Honor 8X </v>
      </c>
      <c r="C266" s="75">
        <f ca="1">IFERROR(__xludf.DUMMYFUNCTION("""COMPUTED_VALUE"""),230)</f>
        <v>230</v>
      </c>
      <c r="D266" s="75">
        <f ca="1">IFERROR(__xludf.DUMMYFUNCTION("""COMPUTED_VALUE"""),100)</f>
        <v>100</v>
      </c>
      <c r="E266" s="76">
        <f ca="1">IFERROR(__xludf.DUMMYFUNCTION("""COMPUTED_VALUE"""),330)</f>
        <v>330</v>
      </c>
      <c r="F266" s="77">
        <f ca="1">IFERROR(__xludf.DUMMYFUNCTION("""COMPUTED_VALUE"""),10010503)</f>
        <v>10010503</v>
      </c>
      <c r="G266" s="77" t="str">
        <f t="shared" ca="1" si="1"/>
        <v>si</v>
      </c>
    </row>
    <row r="267" spans="1:7" ht="12.75" x14ac:dyDescent="0.2">
      <c r="A267" s="62">
        <f ca="1">IFERROR(__xludf.DUMMYFUNCTION("""COMPUTED_VALUE"""),10010497)</f>
        <v>10010497</v>
      </c>
      <c r="B267" s="62" t="str">
        <f ca="1">IFERROR(__xludf.DUMMYFUNCTION("""COMPUTED_VALUE"""),"Pantallas Huawei Honor 7X ")</f>
        <v xml:space="preserve">Pantallas Huawei Honor 7X </v>
      </c>
      <c r="C267" s="75">
        <f ca="1">IFERROR(__xludf.DUMMYFUNCTION("""COMPUTED_VALUE"""),120)</f>
        <v>120</v>
      </c>
      <c r="D267" s="75">
        <f ca="1">IFERROR(__xludf.DUMMYFUNCTION("""COMPUTED_VALUE"""),50)</f>
        <v>50</v>
      </c>
      <c r="E267" s="76">
        <f ca="1">IFERROR(__xludf.DUMMYFUNCTION("""COMPUTED_VALUE"""),170)</f>
        <v>170</v>
      </c>
      <c r="F267" s="77">
        <f ca="1">IFERROR(__xludf.DUMMYFUNCTION("""COMPUTED_VALUE"""),10010497)</f>
        <v>10010497</v>
      </c>
      <c r="G267" s="77" t="str">
        <f t="shared" ca="1" si="1"/>
        <v>si</v>
      </c>
    </row>
    <row r="268" spans="1:7" ht="12.75" x14ac:dyDescent="0.2">
      <c r="A268" s="62">
        <f ca="1">IFERROR(__xludf.DUMMYFUNCTION("""COMPUTED_VALUE"""),10010150)</f>
        <v>10010150</v>
      </c>
      <c r="B268" s="62" t="str">
        <f ca="1">IFERROR(__xludf.DUMMYFUNCTION("""COMPUTED_VALUE"""),"Pantalla Motorolla G2 Oled")</f>
        <v>Pantalla Motorolla G2 Oled</v>
      </c>
      <c r="C268" s="75">
        <f ca="1">IFERROR(__xludf.DUMMYFUNCTION("""COMPUTED_VALUE"""),50)</f>
        <v>50</v>
      </c>
      <c r="D268" s="75">
        <f ca="1">IFERROR(__xludf.DUMMYFUNCTION("""COMPUTED_VALUE"""),0)</f>
        <v>0</v>
      </c>
      <c r="E268" s="76">
        <f ca="1">IFERROR(__xludf.DUMMYFUNCTION("""COMPUTED_VALUE"""),50)</f>
        <v>50</v>
      </c>
      <c r="F268" s="77">
        <f ca="1">IFERROR(__xludf.DUMMYFUNCTION("""COMPUTED_VALUE"""),10010150)</f>
        <v>10010150</v>
      </c>
      <c r="G268" s="77" t="str">
        <f t="shared" ca="1" si="1"/>
        <v>si</v>
      </c>
    </row>
    <row r="269" spans="1:7" ht="12.75" x14ac:dyDescent="0.2">
      <c r="A269" s="62">
        <f ca="1">IFERROR(__xludf.DUMMYFUNCTION("""COMPUTED_VALUE"""),10010141)</f>
        <v>10010141</v>
      </c>
      <c r="B269" s="62" t="str">
        <f ca="1">IFERROR(__xludf.DUMMYFUNCTION("""COMPUTED_VALUE"""),"Pantalla Motorolla E Oled")</f>
        <v>Pantalla Motorolla E Oled</v>
      </c>
      <c r="C269" s="75">
        <f ca="1">IFERROR(__xludf.DUMMYFUNCTION("""COMPUTED_VALUE"""),50)</f>
        <v>50</v>
      </c>
      <c r="D269" s="75">
        <f ca="1">IFERROR(__xludf.DUMMYFUNCTION("""COMPUTED_VALUE"""),0)</f>
        <v>0</v>
      </c>
      <c r="E269" s="76">
        <f ca="1">IFERROR(__xludf.DUMMYFUNCTION("""COMPUTED_VALUE"""),50)</f>
        <v>50</v>
      </c>
      <c r="F269" s="77">
        <f ca="1">IFERROR(__xludf.DUMMYFUNCTION("""COMPUTED_VALUE"""),10010141)</f>
        <v>10010141</v>
      </c>
      <c r="G269" s="77" t="str">
        <f t="shared" ca="1" si="1"/>
        <v>si</v>
      </c>
    </row>
    <row r="270" spans="1:7" ht="12.75" x14ac:dyDescent="0.2">
      <c r="A270" s="62">
        <f ca="1">IFERROR(__xludf.DUMMYFUNCTION("""COMPUTED_VALUE"""),10010142)</f>
        <v>10010142</v>
      </c>
      <c r="B270" s="62" t="str">
        <f ca="1">IFERROR(__xludf.DUMMYFUNCTION("""COMPUTED_VALUE"""),"Pantalla Motorolla E2 Oled")</f>
        <v>Pantalla Motorolla E2 Oled</v>
      </c>
      <c r="C270" s="75">
        <f ca="1">IFERROR(__xludf.DUMMYFUNCTION("""COMPUTED_VALUE"""),50)</f>
        <v>50</v>
      </c>
      <c r="D270" s="75">
        <f ca="1">IFERROR(__xludf.DUMMYFUNCTION("""COMPUTED_VALUE"""),0)</f>
        <v>0</v>
      </c>
      <c r="E270" s="76">
        <f ca="1">IFERROR(__xludf.DUMMYFUNCTION("""COMPUTED_VALUE"""),50)</f>
        <v>50</v>
      </c>
      <c r="F270" s="77">
        <f ca="1">IFERROR(__xludf.DUMMYFUNCTION("""COMPUTED_VALUE"""),10010142)</f>
        <v>10010142</v>
      </c>
      <c r="G270" s="77" t="str">
        <f t="shared" ca="1" si="1"/>
        <v>si</v>
      </c>
    </row>
    <row r="271" spans="1:7" ht="12.75" x14ac:dyDescent="0.2">
      <c r="A271" s="62">
        <f ca="1">IFERROR(__xludf.DUMMYFUNCTION("""COMPUTED_VALUE"""),10010143)</f>
        <v>10010143</v>
      </c>
      <c r="B271" s="62" t="str">
        <f ca="1">IFERROR(__xludf.DUMMYFUNCTION("""COMPUTED_VALUE"""),"Pantalla Motorolla E4 Oled")</f>
        <v>Pantalla Motorolla E4 Oled</v>
      </c>
      <c r="C271" s="75">
        <f ca="1">IFERROR(__xludf.DUMMYFUNCTION("""COMPUTED_VALUE"""),50)</f>
        <v>50</v>
      </c>
      <c r="D271" s="75">
        <f ca="1">IFERROR(__xludf.DUMMYFUNCTION("""COMPUTED_VALUE"""),0)</f>
        <v>0</v>
      </c>
      <c r="E271" s="76">
        <f ca="1">IFERROR(__xludf.DUMMYFUNCTION("""COMPUTED_VALUE"""),50)</f>
        <v>50</v>
      </c>
      <c r="F271" s="77">
        <f ca="1">IFERROR(__xludf.DUMMYFUNCTION("""COMPUTED_VALUE"""),10010143)</f>
        <v>10010143</v>
      </c>
      <c r="G271" s="77" t="str">
        <f t="shared" ca="1" si="1"/>
        <v>si</v>
      </c>
    </row>
    <row r="272" spans="1:7" ht="12.75" x14ac:dyDescent="0.2">
      <c r="A272" s="62">
        <f ca="1">IFERROR(__xludf.DUMMYFUNCTION("""COMPUTED_VALUE"""),10010144)</f>
        <v>10010144</v>
      </c>
      <c r="B272" s="62" t="str">
        <f ca="1">IFERROR(__xludf.DUMMYFUNCTION("""COMPUTED_VALUE"""),"Pantalla Motorolla E4 Plus Oled")</f>
        <v>Pantalla Motorolla E4 Plus Oled</v>
      </c>
      <c r="C272" s="75">
        <f ca="1">IFERROR(__xludf.DUMMYFUNCTION("""COMPUTED_VALUE"""),50)</f>
        <v>50</v>
      </c>
      <c r="D272" s="75">
        <f ca="1">IFERROR(__xludf.DUMMYFUNCTION("""COMPUTED_VALUE"""),0)</f>
        <v>0</v>
      </c>
      <c r="E272" s="76">
        <f ca="1">IFERROR(__xludf.DUMMYFUNCTION("""COMPUTED_VALUE"""),50)</f>
        <v>50</v>
      </c>
      <c r="F272" s="77">
        <f ca="1">IFERROR(__xludf.DUMMYFUNCTION("""COMPUTED_VALUE"""),10010144)</f>
        <v>10010144</v>
      </c>
      <c r="G272" s="77" t="str">
        <f t="shared" ca="1" si="1"/>
        <v>si</v>
      </c>
    </row>
    <row r="273" spans="1:7" ht="12.75" x14ac:dyDescent="0.2">
      <c r="A273" s="62">
        <f ca="1">IFERROR(__xludf.DUMMYFUNCTION("""COMPUTED_VALUE"""),10010146)</f>
        <v>10010146</v>
      </c>
      <c r="B273" s="62" t="str">
        <f ca="1">IFERROR(__xludf.DUMMYFUNCTION("""COMPUTED_VALUE"""),"Pantalla Motorolla E5 Play Oled")</f>
        <v>Pantalla Motorolla E5 Play Oled</v>
      </c>
      <c r="C273" s="75">
        <f ca="1">IFERROR(__xludf.DUMMYFUNCTION("""COMPUTED_VALUE"""),110)</f>
        <v>110</v>
      </c>
      <c r="D273" s="75">
        <f ca="1">IFERROR(__xludf.DUMMYFUNCTION("""COMPUTED_VALUE"""),0)</f>
        <v>0</v>
      </c>
      <c r="E273" s="76">
        <f ca="1">IFERROR(__xludf.DUMMYFUNCTION("""COMPUTED_VALUE"""),110)</f>
        <v>110</v>
      </c>
      <c r="F273" s="77">
        <f ca="1">IFERROR(__xludf.DUMMYFUNCTION("""COMPUTED_VALUE"""),10010146)</f>
        <v>10010146</v>
      </c>
      <c r="G273" s="77" t="str">
        <f t="shared" ca="1" si="1"/>
        <v>si</v>
      </c>
    </row>
    <row r="274" spans="1:7" ht="12.75" x14ac:dyDescent="0.2">
      <c r="A274" s="62">
        <f ca="1">IFERROR(__xludf.DUMMYFUNCTION("""COMPUTED_VALUE"""),10010148)</f>
        <v>10010148</v>
      </c>
      <c r="B274" s="62" t="str">
        <f ca="1">IFERROR(__xludf.DUMMYFUNCTION("""COMPUTED_VALUE"""),"Pantalla Motorolla E6 Plus Oled")</f>
        <v>Pantalla Motorolla E6 Plus Oled</v>
      </c>
      <c r="C274" s="75">
        <f ca="1">IFERROR(__xludf.DUMMYFUNCTION("""COMPUTED_VALUE"""),120)</f>
        <v>120</v>
      </c>
      <c r="D274" s="75">
        <f ca="1">IFERROR(__xludf.DUMMYFUNCTION("""COMPUTED_VALUE"""),0)</f>
        <v>0</v>
      </c>
      <c r="E274" s="76">
        <f ca="1">IFERROR(__xludf.DUMMYFUNCTION("""COMPUTED_VALUE"""),120)</f>
        <v>120</v>
      </c>
      <c r="F274" s="77">
        <f ca="1">IFERROR(__xludf.DUMMYFUNCTION("""COMPUTED_VALUE"""),10010148)</f>
        <v>10010148</v>
      </c>
      <c r="G274" s="77" t="str">
        <f t="shared" ca="1" si="1"/>
        <v>si</v>
      </c>
    </row>
    <row r="275" spans="1:7" ht="12.75" x14ac:dyDescent="0.2">
      <c r="A275" s="62">
        <f ca="1">IFERROR(__xludf.DUMMYFUNCTION("""COMPUTED_VALUE"""),10010391)</f>
        <v>10010391</v>
      </c>
      <c r="B275" s="62" t="str">
        <f ca="1">IFERROR(__xludf.DUMMYFUNCTION("""COMPUTED_VALUE"""),"Pantalla Motorolla E6 Oled")</f>
        <v>Pantalla Motorolla E6 Oled</v>
      </c>
      <c r="C275" s="75">
        <f ca="1">IFERROR(__xludf.DUMMYFUNCTION("""COMPUTED_VALUE"""),120)</f>
        <v>120</v>
      </c>
      <c r="D275" s="75">
        <f ca="1">IFERROR(__xludf.DUMMYFUNCTION("""COMPUTED_VALUE"""),0)</f>
        <v>0</v>
      </c>
      <c r="E275" s="76">
        <f ca="1">IFERROR(__xludf.DUMMYFUNCTION("""COMPUTED_VALUE"""),120)</f>
        <v>120</v>
      </c>
      <c r="F275" s="77">
        <f ca="1">IFERROR(__xludf.DUMMYFUNCTION("""COMPUTED_VALUE"""),10010391)</f>
        <v>10010391</v>
      </c>
      <c r="G275" s="77" t="str">
        <f t="shared" ca="1" si="1"/>
        <v>si</v>
      </c>
    </row>
    <row r="276" spans="1:7" ht="12.75" x14ac:dyDescent="0.2">
      <c r="A276" s="62">
        <f ca="1">IFERROR(__xludf.DUMMYFUNCTION("""COMPUTED_VALUE"""),10010384)</f>
        <v>10010384</v>
      </c>
      <c r="B276" s="62" t="str">
        <f ca="1">IFERROR(__xludf.DUMMYFUNCTION("""COMPUTED_VALUE"""),"Pantalla Motorolla E7 (6.5) Oled")</f>
        <v>Pantalla Motorolla E7 (6.5) Oled</v>
      </c>
      <c r="C276" s="75">
        <f ca="1">IFERROR(__xludf.DUMMYFUNCTION("""COMPUTED_VALUE"""),170)</f>
        <v>170</v>
      </c>
      <c r="D276" s="75">
        <f ca="1">IFERROR(__xludf.DUMMYFUNCTION("""COMPUTED_VALUE"""),0)</f>
        <v>0</v>
      </c>
      <c r="E276" s="76">
        <f ca="1">IFERROR(__xludf.DUMMYFUNCTION("""COMPUTED_VALUE"""),170)</f>
        <v>170</v>
      </c>
      <c r="F276" s="77">
        <f ca="1">IFERROR(__xludf.DUMMYFUNCTION("""COMPUTED_VALUE"""),10010384)</f>
        <v>10010384</v>
      </c>
      <c r="G276" s="77" t="str">
        <f t="shared" ca="1" si="1"/>
        <v>si</v>
      </c>
    </row>
    <row r="277" spans="1:7" ht="12.75" x14ac:dyDescent="0.2">
      <c r="A277" s="62">
        <f ca="1">IFERROR(__xludf.DUMMYFUNCTION("""COMPUTED_VALUE"""),10160189)</f>
        <v>10160189</v>
      </c>
      <c r="B277" s="62" t="str">
        <f ca="1">IFERROR(__xludf.DUMMYFUNCTION("""COMPUTED_VALUE"""),"Pantalla E7 Power - E7i ")</f>
        <v xml:space="preserve">Pantalla E7 Power - E7i </v>
      </c>
      <c r="C277" s="75">
        <f ca="1">IFERROR(__xludf.DUMMYFUNCTION("""COMPUTED_VALUE"""),160)</f>
        <v>160</v>
      </c>
      <c r="D277" s="75">
        <f ca="1">IFERROR(__xludf.DUMMYFUNCTION("""COMPUTED_VALUE"""),0)</f>
        <v>0</v>
      </c>
      <c r="E277" s="76">
        <f ca="1">IFERROR(__xludf.DUMMYFUNCTION("""COMPUTED_VALUE"""),160)</f>
        <v>160</v>
      </c>
      <c r="F277" s="77">
        <f ca="1">IFERROR(__xludf.DUMMYFUNCTION("""COMPUTED_VALUE"""),10160189)</f>
        <v>10160189</v>
      </c>
      <c r="G277" s="77" t="str">
        <f t="shared" ca="1" si="1"/>
        <v>si</v>
      </c>
    </row>
    <row r="278" spans="1:7" ht="12.75" x14ac:dyDescent="0.2">
      <c r="A278" s="62">
        <f ca="1">IFERROR(__xludf.DUMMYFUNCTION("""COMPUTED_VALUE"""),10010149)</f>
        <v>10010149</v>
      </c>
      <c r="B278" s="62" t="str">
        <f ca="1">IFERROR(__xludf.DUMMYFUNCTION("""COMPUTED_VALUE"""),"Pantalla Motorolla G Play Oled")</f>
        <v>Pantalla Motorolla G Play Oled</v>
      </c>
      <c r="C278" s="75">
        <f ca="1">IFERROR(__xludf.DUMMYFUNCTION("""COMPUTED_VALUE"""),95)</f>
        <v>95</v>
      </c>
      <c r="D278" s="75">
        <f ca="1">IFERROR(__xludf.DUMMYFUNCTION("""COMPUTED_VALUE"""),0)</f>
        <v>0</v>
      </c>
      <c r="E278" s="76">
        <f ca="1">IFERROR(__xludf.DUMMYFUNCTION("""COMPUTED_VALUE"""),95)</f>
        <v>95</v>
      </c>
      <c r="F278" s="77">
        <f ca="1">IFERROR(__xludf.DUMMYFUNCTION("""COMPUTED_VALUE"""),10010149)</f>
        <v>10010149</v>
      </c>
      <c r="G278" s="77" t="str">
        <f t="shared" ca="1" si="1"/>
        <v>si</v>
      </c>
    </row>
    <row r="279" spans="1:7" ht="12.75" x14ac:dyDescent="0.2">
      <c r="A279" s="62">
        <f ca="1">IFERROR(__xludf.DUMMYFUNCTION("""COMPUTED_VALUE"""),10010151)</f>
        <v>10010151</v>
      </c>
      <c r="B279" s="62" t="str">
        <f ca="1">IFERROR(__xludf.DUMMYFUNCTION("""COMPUTED_VALUE"""),"Pantalla Motorolla G4 Oled")</f>
        <v>Pantalla Motorolla G4 Oled</v>
      </c>
      <c r="C279" s="75">
        <f ca="1">IFERROR(__xludf.DUMMYFUNCTION("""COMPUTED_VALUE"""),90)</f>
        <v>90</v>
      </c>
      <c r="D279" s="75">
        <f ca="1">IFERROR(__xludf.DUMMYFUNCTION("""COMPUTED_VALUE"""),0)</f>
        <v>0</v>
      </c>
      <c r="E279" s="76">
        <f ca="1">IFERROR(__xludf.DUMMYFUNCTION("""COMPUTED_VALUE"""),90)</f>
        <v>90</v>
      </c>
      <c r="F279" s="77">
        <f ca="1">IFERROR(__xludf.DUMMYFUNCTION("""COMPUTED_VALUE"""),10010151)</f>
        <v>10010151</v>
      </c>
      <c r="G279" s="77" t="str">
        <f t="shared" ca="1" si="1"/>
        <v>si</v>
      </c>
    </row>
    <row r="280" spans="1:7" ht="12.75" x14ac:dyDescent="0.2">
      <c r="A280" s="62">
        <f ca="1">IFERROR(__xludf.DUMMYFUNCTION("""COMPUTED_VALUE"""),10010152)</f>
        <v>10010152</v>
      </c>
      <c r="B280" s="62" t="str">
        <f ca="1">IFERROR(__xludf.DUMMYFUNCTION("""COMPUTED_VALUE"""),"Pantalla Motorolla G4 Play Oled")</f>
        <v>Pantalla Motorolla G4 Play Oled</v>
      </c>
      <c r="C280" s="75">
        <f ca="1">IFERROR(__xludf.DUMMYFUNCTION("""COMPUTED_VALUE"""),75)</f>
        <v>75</v>
      </c>
      <c r="D280" s="75">
        <f ca="1">IFERROR(__xludf.DUMMYFUNCTION("""COMPUTED_VALUE"""),0)</f>
        <v>0</v>
      </c>
      <c r="E280" s="76">
        <f ca="1">IFERROR(__xludf.DUMMYFUNCTION("""COMPUTED_VALUE"""),75)</f>
        <v>75</v>
      </c>
      <c r="F280" s="77">
        <f ca="1">IFERROR(__xludf.DUMMYFUNCTION("""COMPUTED_VALUE"""),10010152)</f>
        <v>10010152</v>
      </c>
      <c r="G280" s="77" t="str">
        <f t="shared" ca="1" si="1"/>
        <v>si</v>
      </c>
    </row>
    <row r="281" spans="1:7" ht="12.75" x14ac:dyDescent="0.2">
      <c r="A281" s="62">
        <f ca="1">IFERROR(__xludf.DUMMYFUNCTION("""COMPUTED_VALUE"""),10010156)</f>
        <v>10010156</v>
      </c>
      <c r="B281" s="62" t="str">
        <f ca="1">IFERROR(__xludf.DUMMYFUNCTION("""COMPUTED_VALUE"""),"Pantalla Motorolla G5S  Oled")</f>
        <v>Pantalla Motorolla G5S  Oled</v>
      </c>
      <c r="C281" s="75">
        <f ca="1">IFERROR(__xludf.DUMMYFUNCTION("""COMPUTED_VALUE"""),100)</f>
        <v>100</v>
      </c>
      <c r="D281" s="75">
        <f ca="1">IFERROR(__xludf.DUMMYFUNCTION("""COMPUTED_VALUE"""),0)</f>
        <v>0</v>
      </c>
      <c r="E281" s="76">
        <f ca="1">IFERROR(__xludf.DUMMYFUNCTION("""COMPUTED_VALUE"""),100)</f>
        <v>100</v>
      </c>
      <c r="F281" s="77">
        <f ca="1">IFERROR(__xludf.DUMMYFUNCTION("""COMPUTED_VALUE"""),10010156)</f>
        <v>10010156</v>
      </c>
      <c r="G281" s="77" t="str">
        <f t="shared" ca="1" si="1"/>
        <v>si</v>
      </c>
    </row>
    <row r="282" spans="1:7" ht="12.75" x14ac:dyDescent="0.2">
      <c r="A282" s="62">
        <f ca="1">IFERROR(__xludf.DUMMYFUNCTION("""COMPUTED_VALUE"""),10010155)</f>
        <v>10010155</v>
      </c>
      <c r="B282" s="62" t="str">
        <f ca="1">IFERROR(__xludf.DUMMYFUNCTION("""COMPUTED_VALUE"""),"Pantalla Motorolla G5 Plus Oled")</f>
        <v>Pantalla Motorolla G5 Plus Oled</v>
      </c>
      <c r="C282" s="75">
        <f ca="1">IFERROR(__xludf.DUMMYFUNCTION("""COMPUTED_VALUE"""),100)</f>
        <v>100</v>
      </c>
      <c r="D282" s="75">
        <f ca="1">IFERROR(__xludf.DUMMYFUNCTION("""COMPUTED_VALUE"""),0)</f>
        <v>0</v>
      </c>
      <c r="E282" s="76">
        <f ca="1">IFERROR(__xludf.DUMMYFUNCTION("""COMPUTED_VALUE"""),100)</f>
        <v>100</v>
      </c>
      <c r="F282" s="77">
        <f ca="1">IFERROR(__xludf.DUMMYFUNCTION("""COMPUTED_VALUE"""),10010155)</f>
        <v>10010155</v>
      </c>
      <c r="G282" s="77" t="str">
        <f t="shared" ca="1" si="1"/>
        <v>si</v>
      </c>
    </row>
    <row r="283" spans="1:7" ht="12.75" x14ac:dyDescent="0.2">
      <c r="A283" s="62">
        <f ca="1">IFERROR(__xludf.DUMMYFUNCTION("""COMPUTED_VALUE"""),10160187)</f>
        <v>10160187</v>
      </c>
      <c r="B283" s="62" t="str">
        <f ca="1">IFERROR(__xludf.DUMMYFUNCTION("""COMPUTED_VALUE"""),"Pantalla Motorolla G5g")</f>
        <v>Pantalla Motorolla G5g</v>
      </c>
      <c r="C283" s="75">
        <f ca="1">IFERROR(__xludf.DUMMYFUNCTION("""COMPUTED_VALUE"""),160)</f>
        <v>160</v>
      </c>
      <c r="D283" s="75">
        <f ca="1">IFERROR(__xludf.DUMMYFUNCTION("""COMPUTED_VALUE"""),0)</f>
        <v>0</v>
      </c>
      <c r="E283" s="76">
        <f ca="1">IFERROR(__xludf.DUMMYFUNCTION("""COMPUTED_VALUE"""),160)</f>
        <v>160</v>
      </c>
      <c r="F283" s="77">
        <f ca="1">IFERROR(__xludf.DUMMYFUNCTION("""COMPUTED_VALUE"""),10160187)</f>
        <v>10160187</v>
      </c>
      <c r="G283" s="77" t="str">
        <f t="shared" ca="1" si="1"/>
        <v>si</v>
      </c>
    </row>
    <row r="284" spans="1:7" ht="12.75" x14ac:dyDescent="0.2">
      <c r="A284" s="62">
        <f ca="1">IFERROR(__xludf.DUMMYFUNCTION("""COMPUTED_VALUE"""),10010157)</f>
        <v>10010157</v>
      </c>
      <c r="B284" s="62" t="str">
        <f ca="1">IFERROR(__xludf.DUMMYFUNCTION("""COMPUTED_VALUE"""),"Pantalla Motorolla G6 Oled")</f>
        <v>Pantalla Motorolla G6 Oled</v>
      </c>
      <c r="C284" s="75">
        <f ca="1">IFERROR(__xludf.DUMMYFUNCTION("""COMPUTED_VALUE"""),110)</f>
        <v>110</v>
      </c>
      <c r="D284" s="75">
        <f ca="1">IFERROR(__xludf.DUMMYFUNCTION("""COMPUTED_VALUE"""),0)</f>
        <v>0</v>
      </c>
      <c r="E284" s="76">
        <f ca="1">IFERROR(__xludf.DUMMYFUNCTION("""COMPUTED_VALUE"""),110)</f>
        <v>110</v>
      </c>
      <c r="F284" s="77">
        <f ca="1">IFERROR(__xludf.DUMMYFUNCTION("""COMPUTED_VALUE"""),10010157)</f>
        <v>10010157</v>
      </c>
      <c r="G284" s="77" t="str">
        <f t="shared" ca="1" si="1"/>
        <v>si</v>
      </c>
    </row>
    <row r="285" spans="1:7" ht="12.75" x14ac:dyDescent="0.2">
      <c r="A285" s="62">
        <f ca="1">IFERROR(__xludf.DUMMYFUNCTION("""COMPUTED_VALUE"""),10010158)</f>
        <v>10010158</v>
      </c>
      <c r="B285" s="62" t="str">
        <f ca="1">IFERROR(__xludf.DUMMYFUNCTION("""COMPUTED_VALUE"""),"Pantalla Motorolla G6 Plus Oled")</f>
        <v>Pantalla Motorolla G6 Plus Oled</v>
      </c>
      <c r="C285" s="75">
        <f ca="1">IFERROR(__xludf.DUMMYFUNCTION("""COMPUTED_VALUE"""),100)</f>
        <v>100</v>
      </c>
      <c r="D285" s="75">
        <f ca="1">IFERROR(__xludf.DUMMYFUNCTION("""COMPUTED_VALUE"""),0)</f>
        <v>0</v>
      </c>
      <c r="E285" s="76">
        <f ca="1">IFERROR(__xludf.DUMMYFUNCTION("""COMPUTED_VALUE"""),100)</f>
        <v>100</v>
      </c>
      <c r="F285" s="77">
        <f ca="1">IFERROR(__xludf.DUMMYFUNCTION("""COMPUTED_VALUE"""),10010158)</f>
        <v>10010158</v>
      </c>
      <c r="G285" s="77" t="str">
        <f t="shared" ca="1" si="1"/>
        <v>si</v>
      </c>
    </row>
    <row r="286" spans="1:7" ht="12.75" x14ac:dyDescent="0.2">
      <c r="A286" s="62">
        <f ca="1">IFERROR(__xludf.DUMMYFUNCTION("""COMPUTED_VALUE"""),10010140)</f>
        <v>10010140</v>
      </c>
      <c r="B286" s="62" t="str">
        <f ca="1">IFERROR(__xludf.DUMMYFUNCTION("""COMPUTED_VALUE"""),"Pantalla Motorolla C Oled")</f>
        <v>Pantalla Motorolla C Oled</v>
      </c>
      <c r="C286" s="75">
        <f ca="1">IFERROR(__xludf.DUMMYFUNCTION("""COMPUTED_VALUE"""),90)</f>
        <v>90</v>
      </c>
      <c r="D286" s="75">
        <f ca="1">IFERROR(__xludf.DUMMYFUNCTION("""COMPUTED_VALUE"""),0)</f>
        <v>0</v>
      </c>
      <c r="E286" s="76">
        <f ca="1">IFERROR(__xludf.DUMMYFUNCTION("""COMPUTED_VALUE"""),90)</f>
        <v>90</v>
      </c>
      <c r="F286" s="77">
        <f ca="1">IFERROR(__xludf.DUMMYFUNCTION("""COMPUTED_VALUE"""),10010140)</f>
        <v>10010140</v>
      </c>
      <c r="G286" s="77" t="str">
        <f t="shared" ca="1" si="1"/>
        <v>si</v>
      </c>
    </row>
    <row r="287" spans="1:7" ht="12.75" x14ac:dyDescent="0.2">
      <c r="A287" s="62">
        <f ca="1">IFERROR(__xludf.DUMMYFUNCTION("""COMPUTED_VALUE"""),10010160)</f>
        <v>10010160</v>
      </c>
      <c r="B287" s="62" t="str">
        <f ca="1">IFERROR(__xludf.DUMMYFUNCTION("""COMPUTED_VALUE"""),"Pantalla Motorolla G7 Power Oled")</f>
        <v>Pantalla Motorolla G7 Power Oled</v>
      </c>
      <c r="C287" s="75">
        <f ca="1">IFERROR(__xludf.DUMMYFUNCTION("""COMPUTED_VALUE"""),120)</f>
        <v>120</v>
      </c>
      <c r="D287" s="75">
        <f ca="1">IFERROR(__xludf.DUMMYFUNCTION("""COMPUTED_VALUE"""),0)</f>
        <v>0</v>
      </c>
      <c r="E287" s="76">
        <f ca="1">IFERROR(__xludf.DUMMYFUNCTION("""COMPUTED_VALUE"""),120)</f>
        <v>120</v>
      </c>
      <c r="F287" s="77">
        <f ca="1">IFERROR(__xludf.DUMMYFUNCTION("""COMPUTED_VALUE"""),10010160)</f>
        <v>10010160</v>
      </c>
      <c r="G287" s="77" t="str">
        <f t="shared" ca="1" si="1"/>
        <v>si</v>
      </c>
    </row>
    <row r="288" spans="1:7" ht="12.75" x14ac:dyDescent="0.2">
      <c r="A288" s="62">
        <f ca="1">IFERROR(__xludf.DUMMYFUNCTION("""COMPUTED_VALUE"""),10010159)</f>
        <v>10010159</v>
      </c>
      <c r="B288" s="62" t="str">
        <f ca="1">IFERROR(__xludf.DUMMYFUNCTION("""COMPUTED_VALUE"""),"Pantalla Motorolla G7 (G7 Plus) Oled")</f>
        <v>Pantalla Motorolla G7 (G7 Plus) Oled</v>
      </c>
      <c r="C288" s="75">
        <f ca="1">IFERROR(__xludf.DUMMYFUNCTION("""COMPUTED_VALUE"""),150)</f>
        <v>150</v>
      </c>
      <c r="D288" s="75">
        <f ca="1">IFERROR(__xludf.DUMMYFUNCTION("""COMPUTED_VALUE"""),0)</f>
        <v>0</v>
      </c>
      <c r="E288" s="76">
        <f ca="1">IFERROR(__xludf.DUMMYFUNCTION("""COMPUTED_VALUE"""),150)</f>
        <v>150</v>
      </c>
      <c r="F288" s="77">
        <f ca="1">IFERROR(__xludf.DUMMYFUNCTION("""COMPUTED_VALUE"""),10010159)</f>
        <v>10010159</v>
      </c>
      <c r="G288" s="77" t="str">
        <f t="shared" ca="1" si="1"/>
        <v>si</v>
      </c>
    </row>
    <row r="289" spans="1:7" ht="12.75" x14ac:dyDescent="0.2">
      <c r="A289" s="62">
        <f ca="1">IFERROR(__xludf.DUMMYFUNCTION("""COMPUTED_VALUE"""),10010161)</f>
        <v>10010161</v>
      </c>
      <c r="B289" s="62" t="str">
        <f ca="1">IFERROR(__xludf.DUMMYFUNCTION("""COMPUTED_VALUE"""),"Pantalla Motorolla G8 Oled")</f>
        <v>Pantalla Motorolla G8 Oled</v>
      </c>
      <c r="C289" s="75">
        <f ca="1">IFERROR(__xludf.DUMMYFUNCTION("""COMPUTED_VALUE"""),190)</f>
        <v>190</v>
      </c>
      <c r="D289" s="75">
        <f ca="1">IFERROR(__xludf.DUMMYFUNCTION("""COMPUTED_VALUE"""),0)</f>
        <v>0</v>
      </c>
      <c r="E289" s="76">
        <f ca="1">IFERROR(__xludf.DUMMYFUNCTION("""COMPUTED_VALUE"""),190)</f>
        <v>190</v>
      </c>
      <c r="F289" s="77">
        <f ca="1">IFERROR(__xludf.DUMMYFUNCTION("""COMPUTED_VALUE"""),10010161)</f>
        <v>10010161</v>
      </c>
      <c r="G289" s="77" t="str">
        <f t="shared" ca="1" si="1"/>
        <v>si</v>
      </c>
    </row>
    <row r="290" spans="1:7" ht="12.75" x14ac:dyDescent="0.2">
      <c r="A290" s="62">
        <f ca="1">IFERROR(__xludf.DUMMYFUNCTION("""COMPUTED_VALUE"""),10010163)</f>
        <v>10010163</v>
      </c>
      <c r="B290" s="62" t="str">
        <f ca="1">IFERROR(__xludf.DUMMYFUNCTION("""COMPUTED_VALUE"""),"Pantalla Motorolla G8 Plus Oled")</f>
        <v>Pantalla Motorolla G8 Plus Oled</v>
      </c>
      <c r="C290" s="75">
        <f ca="1">IFERROR(__xludf.DUMMYFUNCTION("""COMPUTED_VALUE"""),140)</f>
        <v>140</v>
      </c>
      <c r="D290" s="75">
        <f ca="1">IFERROR(__xludf.DUMMYFUNCTION("""COMPUTED_VALUE"""),0)</f>
        <v>0</v>
      </c>
      <c r="E290" s="76">
        <f ca="1">IFERROR(__xludf.DUMMYFUNCTION("""COMPUTED_VALUE"""),140)</f>
        <v>140</v>
      </c>
      <c r="F290" s="77">
        <f ca="1">IFERROR(__xludf.DUMMYFUNCTION("""COMPUTED_VALUE"""),10010163)</f>
        <v>10010163</v>
      </c>
      <c r="G290" s="77" t="str">
        <f t="shared" ca="1" si="1"/>
        <v>si</v>
      </c>
    </row>
    <row r="291" spans="1:7" ht="12.75" x14ac:dyDescent="0.2">
      <c r="A291" s="62">
        <f ca="1">IFERROR(__xludf.DUMMYFUNCTION("""COMPUTED_VALUE"""),10010162)</f>
        <v>10010162</v>
      </c>
      <c r="B291" s="62" t="str">
        <f ca="1">IFERROR(__xludf.DUMMYFUNCTION("""COMPUTED_VALUE"""),"Pantalla Motorolla G8 Play  Oled")</f>
        <v>Pantalla Motorolla G8 Play  Oled</v>
      </c>
      <c r="C291" s="75">
        <f ca="1">IFERROR(__xludf.DUMMYFUNCTION("""COMPUTED_VALUE"""),130)</f>
        <v>130</v>
      </c>
      <c r="D291" s="75">
        <f ca="1">IFERROR(__xludf.DUMMYFUNCTION("""COMPUTED_VALUE"""),0)</f>
        <v>0</v>
      </c>
      <c r="E291" s="76">
        <f ca="1">IFERROR(__xludf.DUMMYFUNCTION("""COMPUTED_VALUE"""),130)</f>
        <v>130</v>
      </c>
      <c r="F291" s="77">
        <f ca="1">IFERROR(__xludf.DUMMYFUNCTION("""COMPUTED_VALUE"""),10010162)</f>
        <v>10010162</v>
      </c>
      <c r="G291" s="77" t="str">
        <f t="shared" ca="1" si="1"/>
        <v>si</v>
      </c>
    </row>
    <row r="292" spans="1:7" ht="12.75" x14ac:dyDescent="0.2">
      <c r="A292" s="62">
        <f ca="1">IFERROR(__xludf.DUMMYFUNCTION("""COMPUTED_VALUE"""),10010362)</f>
        <v>10010362</v>
      </c>
      <c r="B292" s="62" t="str">
        <f ca="1">IFERROR(__xludf.DUMMYFUNCTION("""COMPUTED_VALUE"""),"Pantalla Motorolla G8 Power  Oled")</f>
        <v>Pantalla Motorolla G8 Power  Oled</v>
      </c>
      <c r="C292" s="75">
        <f ca="1">IFERROR(__xludf.DUMMYFUNCTION("""COMPUTED_VALUE"""),160)</f>
        <v>160</v>
      </c>
      <c r="D292" s="75">
        <f ca="1">IFERROR(__xludf.DUMMYFUNCTION("""COMPUTED_VALUE"""),0)</f>
        <v>0</v>
      </c>
      <c r="E292" s="76">
        <f ca="1">IFERROR(__xludf.DUMMYFUNCTION("""COMPUTED_VALUE"""),160)</f>
        <v>160</v>
      </c>
      <c r="F292" s="77">
        <f ca="1">IFERROR(__xludf.DUMMYFUNCTION("""COMPUTED_VALUE"""),10010362)</f>
        <v>10010362</v>
      </c>
      <c r="G292" s="77" t="str">
        <f t="shared" ca="1" si="1"/>
        <v>si</v>
      </c>
    </row>
    <row r="293" spans="1:7" ht="12.75" x14ac:dyDescent="0.2">
      <c r="A293" s="62">
        <f ca="1">IFERROR(__xludf.DUMMYFUNCTION("""COMPUTED_VALUE"""),10010357)</f>
        <v>10010357</v>
      </c>
      <c r="B293" s="62" t="str">
        <f ca="1">IFERROR(__xludf.DUMMYFUNCTION("""COMPUTED_VALUE"""),"Pantalla Motorolla G8 Power Lite  Oled")</f>
        <v>Pantalla Motorolla G8 Power Lite  Oled</v>
      </c>
      <c r="C293" s="75">
        <f ca="1">IFERROR(__xludf.DUMMYFUNCTION("""COMPUTED_VALUE"""),150)</f>
        <v>150</v>
      </c>
      <c r="D293" s="75">
        <f ca="1">IFERROR(__xludf.DUMMYFUNCTION("""COMPUTED_VALUE"""),0)</f>
        <v>0</v>
      </c>
      <c r="E293" s="76">
        <f ca="1">IFERROR(__xludf.DUMMYFUNCTION("""COMPUTED_VALUE"""),150)</f>
        <v>150</v>
      </c>
      <c r="F293" s="77">
        <f ca="1">IFERROR(__xludf.DUMMYFUNCTION("""COMPUTED_VALUE"""),10010357)</f>
        <v>10010357</v>
      </c>
      <c r="G293" s="77" t="str">
        <f t="shared" ca="1" si="1"/>
        <v>si</v>
      </c>
    </row>
    <row r="294" spans="1:7" ht="12.75" x14ac:dyDescent="0.2">
      <c r="A294" s="62">
        <f ca="1">IFERROR(__xludf.DUMMYFUNCTION("""COMPUTED_VALUE"""),10010356)</f>
        <v>10010356</v>
      </c>
      <c r="B294" s="62" t="str">
        <f ca="1">IFERROR(__xludf.DUMMYFUNCTION("""COMPUTED_VALUE"""),"Pantalla Motorolla G9 Play /E7plus Oled")</f>
        <v>Pantalla Motorolla G9 Play /E7plus Oled</v>
      </c>
      <c r="C294" s="75">
        <f ca="1">IFERROR(__xludf.DUMMYFUNCTION("""COMPUTED_VALUE"""),140)</f>
        <v>140</v>
      </c>
      <c r="D294" s="75">
        <f ca="1">IFERROR(__xludf.DUMMYFUNCTION("""COMPUTED_VALUE"""),0)</f>
        <v>0</v>
      </c>
      <c r="E294" s="76">
        <f ca="1">IFERROR(__xludf.DUMMYFUNCTION("""COMPUTED_VALUE"""),140)</f>
        <v>140</v>
      </c>
      <c r="F294" s="77">
        <f ca="1">IFERROR(__xludf.DUMMYFUNCTION("""COMPUTED_VALUE"""),10010356)</f>
        <v>10010356</v>
      </c>
      <c r="G294" s="77" t="str">
        <f t="shared" ca="1" si="1"/>
        <v>si</v>
      </c>
    </row>
    <row r="295" spans="1:7" ht="12.75" x14ac:dyDescent="0.2">
      <c r="A295" s="62">
        <f ca="1">IFERROR(__xludf.DUMMYFUNCTION("""COMPUTED_VALUE"""),10010367)</f>
        <v>10010367</v>
      </c>
      <c r="B295" s="62" t="str">
        <f ca="1">IFERROR(__xludf.DUMMYFUNCTION("""COMPUTED_VALUE"""),"Pantalla Motorolla G9 Plus  Oled")</f>
        <v>Pantalla Motorolla G9 Plus  Oled</v>
      </c>
      <c r="C295" s="75">
        <f ca="1">IFERROR(__xludf.DUMMYFUNCTION("""COMPUTED_VALUE"""),140)</f>
        <v>140</v>
      </c>
      <c r="D295" s="75">
        <f ca="1">IFERROR(__xludf.DUMMYFUNCTION("""COMPUTED_VALUE"""),0)</f>
        <v>0</v>
      </c>
      <c r="E295" s="76">
        <f ca="1">IFERROR(__xludf.DUMMYFUNCTION("""COMPUTED_VALUE"""),140)</f>
        <v>140</v>
      </c>
      <c r="F295" s="77">
        <f ca="1">IFERROR(__xludf.DUMMYFUNCTION("""COMPUTED_VALUE"""),10010367)</f>
        <v>10010367</v>
      </c>
      <c r="G295" s="77" t="str">
        <f t="shared" ca="1" si="1"/>
        <v>si</v>
      </c>
    </row>
    <row r="296" spans="1:7" ht="12.75" x14ac:dyDescent="0.2">
      <c r="A296" s="62">
        <f ca="1">IFERROR(__xludf.DUMMYFUNCTION("""COMPUTED_VALUE"""),10010385)</f>
        <v>10010385</v>
      </c>
      <c r="B296" s="62" t="str">
        <f ca="1">IFERROR(__xludf.DUMMYFUNCTION("""COMPUTED_VALUE"""),"Pantalla Motorolla G9 Power  Oled")</f>
        <v>Pantalla Motorolla G9 Power  Oled</v>
      </c>
      <c r="C296" s="75">
        <f ca="1">IFERROR(__xludf.DUMMYFUNCTION("""COMPUTED_VALUE"""),170)</f>
        <v>170</v>
      </c>
      <c r="D296" s="75">
        <f ca="1">IFERROR(__xludf.DUMMYFUNCTION("""COMPUTED_VALUE"""),0)</f>
        <v>0</v>
      </c>
      <c r="E296" s="76">
        <f ca="1">IFERROR(__xludf.DUMMYFUNCTION("""COMPUTED_VALUE"""),170)</f>
        <v>170</v>
      </c>
      <c r="F296" s="77">
        <f ca="1">IFERROR(__xludf.DUMMYFUNCTION("""COMPUTED_VALUE"""),10010385)</f>
        <v>10010385</v>
      </c>
      <c r="G296" s="77" t="str">
        <f t="shared" ca="1" si="1"/>
        <v>si</v>
      </c>
    </row>
    <row r="297" spans="1:7" ht="12.75" x14ac:dyDescent="0.2">
      <c r="A297" s="62">
        <f ca="1">IFERROR(__xludf.DUMMYFUNCTION("""COMPUTED_VALUE"""),10010413)</f>
        <v>10010413</v>
      </c>
      <c r="B297" s="62" t="str">
        <f ca="1">IFERROR(__xludf.DUMMYFUNCTION("""COMPUTED_VALUE"""),"Pantalla Motorolla G20 - G20SE")</f>
        <v>Pantalla Motorolla G20 - G20SE</v>
      </c>
      <c r="C297" s="75">
        <f ca="1">IFERROR(__xludf.DUMMYFUNCTION("""COMPUTED_VALUE"""),170)</f>
        <v>170</v>
      </c>
      <c r="D297" s="75">
        <f ca="1">IFERROR(__xludf.DUMMYFUNCTION("""COMPUTED_VALUE"""),50)</f>
        <v>50</v>
      </c>
      <c r="E297" s="76">
        <f ca="1">IFERROR(__xludf.DUMMYFUNCTION("""COMPUTED_VALUE"""),220)</f>
        <v>220</v>
      </c>
      <c r="F297" s="77">
        <f ca="1">IFERROR(__xludf.DUMMYFUNCTION("""COMPUTED_VALUE"""),10010413)</f>
        <v>10010413</v>
      </c>
      <c r="G297" s="77" t="str">
        <f t="shared" ca="1" si="1"/>
        <v>si</v>
      </c>
    </row>
    <row r="298" spans="1:7" ht="12.75" x14ac:dyDescent="0.2">
      <c r="A298" s="62">
        <f ca="1">IFERROR(__xludf.DUMMYFUNCTION("""COMPUTED_VALUE"""),10160158)</f>
        <v>10160158</v>
      </c>
      <c r="B298" s="62" t="str">
        <f ca="1">IFERROR(__xludf.DUMMYFUNCTION("""COMPUTED_VALUE"""),"Pantalla Motorolla G30 - G10")</f>
        <v>Pantalla Motorolla G30 - G10</v>
      </c>
      <c r="C298" s="75">
        <f ca="1">IFERROR(__xludf.DUMMYFUNCTION("""COMPUTED_VALUE"""),180)</f>
        <v>180</v>
      </c>
      <c r="D298" s="75">
        <f ca="1">IFERROR(__xludf.DUMMYFUNCTION("""COMPUTED_VALUE"""),50)</f>
        <v>50</v>
      </c>
      <c r="E298" s="76">
        <f ca="1">IFERROR(__xludf.DUMMYFUNCTION("""COMPUTED_VALUE"""),230)</f>
        <v>230</v>
      </c>
      <c r="F298" s="77">
        <f ca="1">IFERROR(__xludf.DUMMYFUNCTION("""COMPUTED_VALUE"""),10160158)</f>
        <v>10160158</v>
      </c>
      <c r="G298" s="77" t="str">
        <f t="shared" ca="1" si="1"/>
        <v>si</v>
      </c>
    </row>
    <row r="299" spans="1:7" ht="12.75" x14ac:dyDescent="0.2">
      <c r="A299" s="62">
        <f ca="1">IFERROR(__xludf.DUMMYFUNCTION("""COMPUTED_VALUE"""),10010167)</f>
        <v>10010167</v>
      </c>
      <c r="B299" s="62" t="str">
        <f ca="1">IFERROR(__xludf.DUMMYFUNCTION("""COMPUTED_VALUE"""),"Pantalla Motorolla X Play - X3 Oled")</f>
        <v>Pantalla Motorolla X Play - X3 Oled</v>
      </c>
      <c r="C299" s="75">
        <f ca="1">IFERROR(__xludf.DUMMYFUNCTION("""COMPUTED_VALUE"""),110)</f>
        <v>110</v>
      </c>
      <c r="D299" s="75">
        <f ca="1">IFERROR(__xludf.DUMMYFUNCTION("""COMPUTED_VALUE"""),0)</f>
        <v>0</v>
      </c>
      <c r="E299" s="76">
        <f ca="1">IFERROR(__xludf.DUMMYFUNCTION("""COMPUTED_VALUE"""),110)</f>
        <v>110</v>
      </c>
      <c r="F299" s="77">
        <f ca="1">IFERROR(__xludf.DUMMYFUNCTION("""COMPUTED_VALUE"""),10010167)</f>
        <v>10010167</v>
      </c>
      <c r="G299" s="77" t="str">
        <f t="shared" ca="1" si="1"/>
        <v>si</v>
      </c>
    </row>
    <row r="300" spans="1:7" ht="12.75" x14ac:dyDescent="0.2">
      <c r="A300" s="62">
        <f ca="1">IFERROR(__xludf.DUMMYFUNCTION("""COMPUTED_VALUE"""),10010168)</f>
        <v>10010168</v>
      </c>
      <c r="B300" s="62" t="str">
        <f ca="1">IFERROR(__xludf.DUMMYFUNCTION("""COMPUTED_VALUE"""),"Pantalla Motorolla X Style Oled")</f>
        <v>Pantalla Motorolla X Style Oled</v>
      </c>
      <c r="C300" s="75">
        <f ca="1">IFERROR(__xludf.DUMMYFUNCTION("""COMPUTED_VALUE"""),150)</f>
        <v>150</v>
      </c>
      <c r="D300" s="75">
        <f ca="1">IFERROR(__xludf.DUMMYFUNCTION("""COMPUTED_VALUE"""),0)</f>
        <v>0</v>
      </c>
      <c r="E300" s="76">
        <f ca="1">IFERROR(__xludf.DUMMYFUNCTION("""COMPUTED_VALUE"""),150)</f>
        <v>150</v>
      </c>
      <c r="F300" s="77">
        <f ca="1">IFERROR(__xludf.DUMMYFUNCTION("""COMPUTED_VALUE"""),10010168)</f>
        <v>10010168</v>
      </c>
      <c r="G300" s="77" t="str">
        <f t="shared" ca="1" si="1"/>
        <v>si</v>
      </c>
    </row>
    <row r="301" spans="1:7" ht="12.75" x14ac:dyDescent="0.2">
      <c r="A301" s="62">
        <f ca="1">IFERROR(__xludf.DUMMYFUNCTION("""COMPUTED_VALUE"""),10010476)</f>
        <v>10010476</v>
      </c>
      <c r="B301" s="62" t="str">
        <f ca="1">IFERROR(__xludf.DUMMYFUNCTION("""COMPUTED_VALUE"""),"Pantalla Motorolla G7 Play Oled")</f>
        <v>Pantalla Motorolla G7 Play Oled</v>
      </c>
      <c r="C301" s="75">
        <f ca="1">IFERROR(__xludf.DUMMYFUNCTION("""COMPUTED_VALUE"""),150)</f>
        <v>150</v>
      </c>
      <c r="D301" s="75">
        <f ca="1">IFERROR(__xludf.DUMMYFUNCTION("""COMPUTED_VALUE"""),0)</f>
        <v>0</v>
      </c>
      <c r="E301" s="76">
        <f ca="1">IFERROR(__xludf.DUMMYFUNCTION("""COMPUTED_VALUE"""),150)</f>
        <v>150</v>
      </c>
      <c r="F301" s="77">
        <f ca="1">IFERROR(__xludf.DUMMYFUNCTION("""COMPUTED_VALUE"""),10010476)</f>
        <v>10010476</v>
      </c>
      <c r="G301" s="77" t="str">
        <f t="shared" ca="1" si="1"/>
        <v>si</v>
      </c>
    </row>
    <row r="302" spans="1:7" ht="12.75" x14ac:dyDescent="0.2">
      <c r="A302" s="62">
        <f ca="1">IFERROR(__xludf.DUMMYFUNCTION("""COMPUTED_VALUE"""),10010173)</f>
        <v>10010173</v>
      </c>
      <c r="B302" s="62" t="str">
        <f ca="1">IFERROR(__xludf.DUMMYFUNCTION("""COMPUTED_VALUE"""),"Pantalla Motorolla ZPlay Oled")</f>
        <v>Pantalla Motorolla ZPlay Oled</v>
      </c>
      <c r="C302" s="75">
        <f ca="1">IFERROR(__xludf.DUMMYFUNCTION("""COMPUTED_VALUE"""),180)</f>
        <v>180</v>
      </c>
      <c r="D302" s="75">
        <f ca="1">IFERROR(__xludf.DUMMYFUNCTION("""COMPUTED_VALUE"""),10)</f>
        <v>10</v>
      </c>
      <c r="E302" s="76">
        <f ca="1">IFERROR(__xludf.DUMMYFUNCTION("""COMPUTED_VALUE"""),190)</f>
        <v>190</v>
      </c>
      <c r="F302" s="77">
        <f ca="1">IFERROR(__xludf.DUMMYFUNCTION("""COMPUTED_VALUE"""),10010173)</f>
        <v>10010173</v>
      </c>
      <c r="G302" s="77" t="str">
        <f t="shared" ca="1" si="1"/>
        <v>si</v>
      </c>
    </row>
    <row r="303" spans="1:7" ht="12.75" x14ac:dyDescent="0.2">
      <c r="A303" s="62">
        <f ca="1">IFERROR(__xludf.DUMMYFUNCTION("""COMPUTED_VALUE"""),10010170)</f>
        <v>10010170</v>
      </c>
      <c r="B303" s="62" t="str">
        <f ca="1">IFERROR(__xludf.DUMMYFUNCTION("""COMPUTED_VALUE"""),"Pantalla Motorolla Z2Play Oled")</f>
        <v>Pantalla Motorolla Z2Play Oled</v>
      </c>
      <c r="C303" s="75">
        <f ca="1">IFERROR(__xludf.DUMMYFUNCTION("""COMPUTED_VALUE"""),170)</f>
        <v>170</v>
      </c>
      <c r="D303" s="75">
        <f ca="1">IFERROR(__xludf.DUMMYFUNCTION("""COMPUTED_VALUE"""),20)</f>
        <v>20</v>
      </c>
      <c r="E303" s="76">
        <f ca="1">IFERROR(__xludf.DUMMYFUNCTION("""COMPUTED_VALUE"""),190)</f>
        <v>190</v>
      </c>
      <c r="F303" s="77">
        <f ca="1">IFERROR(__xludf.DUMMYFUNCTION("""COMPUTED_VALUE"""),10010170)</f>
        <v>10010170</v>
      </c>
      <c r="G303" s="77" t="str">
        <f t="shared" ca="1" si="1"/>
        <v>si</v>
      </c>
    </row>
    <row r="304" spans="1:7" ht="12.75" x14ac:dyDescent="0.2">
      <c r="A304" s="62">
        <f ca="1">IFERROR(__xludf.DUMMYFUNCTION("""COMPUTED_VALUE"""),10010171)</f>
        <v>10010171</v>
      </c>
      <c r="B304" s="62" t="str">
        <f ca="1">IFERROR(__xludf.DUMMYFUNCTION("""COMPUTED_VALUE"""),"Pantalla Motorolla Z3Play Oled")</f>
        <v>Pantalla Motorolla Z3Play Oled</v>
      </c>
      <c r="C304" s="75">
        <f ca="1">IFERROR(__xludf.DUMMYFUNCTION("""COMPUTED_VALUE"""),190)</f>
        <v>190</v>
      </c>
      <c r="D304" s="75">
        <f ca="1">IFERROR(__xludf.DUMMYFUNCTION("""COMPUTED_VALUE"""),50)</f>
        <v>50</v>
      </c>
      <c r="E304" s="76">
        <f ca="1">IFERROR(__xludf.DUMMYFUNCTION("""COMPUTED_VALUE"""),240)</f>
        <v>240</v>
      </c>
      <c r="F304" s="77">
        <f ca="1">IFERROR(__xludf.DUMMYFUNCTION("""COMPUTED_VALUE"""),10010171)</f>
        <v>10010171</v>
      </c>
      <c r="G304" s="77" t="str">
        <f t="shared" ca="1" si="1"/>
        <v>si</v>
      </c>
    </row>
    <row r="305" spans="1:7" ht="12.75" x14ac:dyDescent="0.2">
      <c r="A305" s="62">
        <f ca="1">IFERROR(__xludf.DUMMYFUNCTION("""COMPUTED_VALUE"""),10010172)</f>
        <v>10010172</v>
      </c>
      <c r="B305" s="62" t="str">
        <f ca="1">IFERROR(__xludf.DUMMYFUNCTION("""COMPUTED_VALUE"""),"Pantalla Motorolla Z4 Oled")</f>
        <v>Pantalla Motorolla Z4 Oled</v>
      </c>
      <c r="C305" s="75">
        <f ca="1">IFERROR(__xludf.DUMMYFUNCTION("""COMPUTED_VALUE"""),190)</f>
        <v>190</v>
      </c>
      <c r="D305" s="75">
        <f ca="1">IFERROR(__xludf.DUMMYFUNCTION("""COMPUTED_VALUE"""),50)</f>
        <v>50</v>
      </c>
      <c r="E305" s="76">
        <f ca="1">IFERROR(__xludf.DUMMYFUNCTION("""COMPUTED_VALUE"""),240)</f>
        <v>240</v>
      </c>
      <c r="F305" s="77">
        <f ca="1">IFERROR(__xludf.DUMMYFUNCTION("""COMPUTED_VALUE"""),10010172)</f>
        <v>10010172</v>
      </c>
      <c r="G305" s="77" t="str">
        <f t="shared" ca="1" si="1"/>
        <v>si</v>
      </c>
    </row>
    <row r="306" spans="1:7" ht="12.75" x14ac:dyDescent="0.2">
      <c r="A306" s="62">
        <f ca="1">IFERROR(__xludf.DUMMYFUNCTION("""COMPUTED_VALUE"""),10010165)</f>
        <v>10010165</v>
      </c>
      <c r="B306" s="62" t="str">
        <f ca="1">IFERROR(__xludf.DUMMYFUNCTION("""COMPUTED_VALUE"""),"Pantalla Motorolla One Macro Oled")</f>
        <v>Pantalla Motorolla One Macro Oled</v>
      </c>
      <c r="C306" s="75">
        <f ca="1">IFERROR(__xludf.DUMMYFUNCTION("""COMPUTED_VALUE"""),130)</f>
        <v>130</v>
      </c>
      <c r="D306" s="75">
        <f ca="1">IFERROR(__xludf.DUMMYFUNCTION("""COMPUTED_VALUE"""),50)</f>
        <v>50</v>
      </c>
      <c r="E306" s="76">
        <f ca="1">IFERROR(__xludf.DUMMYFUNCTION("""COMPUTED_VALUE"""),180)</f>
        <v>180</v>
      </c>
      <c r="F306" s="77">
        <f ca="1">IFERROR(__xludf.DUMMYFUNCTION("""COMPUTED_VALUE"""),10010165)</f>
        <v>10010165</v>
      </c>
      <c r="G306" s="77" t="str">
        <f t="shared" ca="1" si="1"/>
        <v>si</v>
      </c>
    </row>
    <row r="307" spans="1:7" ht="12.75" x14ac:dyDescent="0.2">
      <c r="A307" s="62">
        <f ca="1">IFERROR(__xludf.DUMMYFUNCTION("""COMPUTED_VALUE"""),10010166)</f>
        <v>10010166</v>
      </c>
      <c r="B307" s="62" t="str">
        <f ca="1">IFERROR(__xludf.DUMMYFUNCTION("""COMPUTED_VALUE"""),"Pantalla Motorolla One Vision Oled")</f>
        <v>Pantalla Motorolla One Vision Oled</v>
      </c>
      <c r="C307" s="75">
        <f ca="1">IFERROR(__xludf.DUMMYFUNCTION("""COMPUTED_VALUE"""),210)</f>
        <v>210</v>
      </c>
      <c r="D307" s="75">
        <f ca="1">IFERROR(__xludf.DUMMYFUNCTION("""COMPUTED_VALUE"""),50)</f>
        <v>50</v>
      </c>
      <c r="E307" s="76">
        <f ca="1">IFERROR(__xludf.DUMMYFUNCTION("""COMPUTED_VALUE"""),260)</f>
        <v>260</v>
      </c>
      <c r="F307" s="77">
        <f ca="1">IFERROR(__xludf.DUMMYFUNCTION("""COMPUTED_VALUE"""),10010166)</f>
        <v>10010166</v>
      </c>
      <c r="G307" s="77" t="str">
        <f t="shared" ca="1" si="1"/>
        <v>si</v>
      </c>
    </row>
    <row r="308" spans="1:7" ht="12.75" x14ac:dyDescent="0.2">
      <c r="A308" s="62">
        <f ca="1">IFERROR(__xludf.DUMMYFUNCTION("""COMPUTED_VALUE"""),10010164)</f>
        <v>10010164</v>
      </c>
      <c r="B308" s="62" t="str">
        <f ca="1">IFERROR(__xludf.DUMMYFUNCTION("""COMPUTED_VALUE"""),"Pantalla Motorolla One Action Oled")</f>
        <v>Pantalla Motorolla One Action Oled</v>
      </c>
      <c r="C308" s="75">
        <f ca="1">IFERROR(__xludf.DUMMYFUNCTION("""COMPUTED_VALUE"""),220)</f>
        <v>220</v>
      </c>
      <c r="D308" s="75">
        <f ca="1">IFERROR(__xludf.DUMMYFUNCTION("""COMPUTED_VALUE"""),50)</f>
        <v>50</v>
      </c>
      <c r="E308" s="76">
        <f ca="1">IFERROR(__xludf.DUMMYFUNCTION("""COMPUTED_VALUE"""),270)</f>
        <v>270</v>
      </c>
      <c r="F308" s="77">
        <f ca="1">IFERROR(__xludf.DUMMYFUNCTION("""COMPUTED_VALUE"""),10010164)</f>
        <v>10010164</v>
      </c>
      <c r="G308" s="77" t="str">
        <f t="shared" ca="1" si="1"/>
        <v>si</v>
      </c>
    </row>
    <row r="309" spans="1:7" ht="12.75" x14ac:dyDescent="0.2">
      <c r="A309" s="62">
        <f ca="1">IFERROR(__xludf.DUMMYFUNCTION("""COMPUTED_VALUE"""),10010358)</f>
        <v>10010358</v>
      </c>
      <c r="B309" s="62" t="str">
        <f ca="1">IFERROR(__xludf.DUMMYFUNCTION("""COMPUTED_VALUE"""),"Pantalla Motorolla One Fusion Oled")</f>
        <v>Pantalla Motorolla One Fusion Oled</v>
      </c>
      <c r="C309" s="75">
        <f ca="1">IFERROR(__xludf.DUMMYFUNCTION("""COMPUTED_VALUE"""),140)</f>
        <v>140</v>
      </c>
      <c r="D309" s="75">
        <f ca="1">IFERROR(__xludf.DUMMYFUNCTION("""COMPUTED_VALUE"""),50)</f>
        <v>50</v>
      </c>
      <c r="E309" s="76">
        <f ca="1">IFERROR(__xludf.DUMMYFUNCTION("""COMPUTED_VALUE"""),190)</f>
        <v>190</v>
      </c>
      <c r="F309" s="77">
        <f ca="1">IFERROR(__xludf.DUMMYFUNCTION("""COMPUTED_VALUE"""),10010358)</f>
        <v>10010358</v>
      </c>
      <c r="G309" s="77" t="str">
        <f t="shared" ca="1" si="1"/>
        <v>si</v>
      </c>
    </row>
    <row r="310" spans="1:7" ht="12.75" x14ac:dyDescent="0.2">
      <c r="A310" s="62">
        <f ca="1">IFERROR(__xludf.DUMMYFUNCTION("""COMPUTED_VALUE"""),10160188)</f>
        <v>10160188</v>
      </c>
      <c r="B310" s="62" t="str">
        <f ca="1">IFERROR(__xludf.DUMMYFUNCTION("""COMPUTED_VALUE"""),"Pantalla Nexus 6")</f>
        <v>Pantalla Nexus 6</v>
      </c>
      <c r="C310" s="75">
        <f ca="1">IFERROR(__xludf.DUMMYFUNCTION("""COMPUTED_VALUE"""),230)</f>
        <v>230</v>
      </c>
      <c r="D310" s="75">
        <f ca="1">IFERROR(__xludf.DUMMYFUNCTION("""COMPUTED_VALUE"""),60)</f>
        <v>60</v>
      </c>
      <c r="E310" s="76">
        <f ca="1">IFERROR(__xludf.DUMMYFUNCTION("""COMPUTED_VALUE"""),290)</f>
        <v>290</v>
      </c>
      <c r="F310" s="77">
        <f ca="1">IFERROR(__xludf.DUMMYFUNCTION("""COMPUTED_VALUE"""),10160188)</f>
        <v>10160188</v>
      </c>
      <c r="G310" s="77" t="str">
        <f t="shared" ca="1" si="1"/>
        <v>si</v>
      </c>
    </row>
    <row r="311" spans="1:7" ht="12.75" x14ac:dyDescent="0.2">
      <c r="A311" s="62">
        <f ca="1">IFERROR(__xludf.DUMMYFUNCTION("""COMPUTED_VALUE"""),10010491)</f>
        <v>10010491</v>
      </c>
      <c r="B311" s="62" t="str">
        <f ca="1">IFERROR(__xludf.DUMMYFUNCTION("""COMPUTED_VALUE"""),"Pantalla Motorolla One Zoom")</f>
        <v>Pantalla Motorolla One Zoom</v>
      </c>
      <c r="C311" s="75">
        <f ca="1">IFERROR(__xludf.DUMMYFUNCTION("""COMPUTED_VALUE"""),220)</f>
        <v>220</v>
      </c>
      <c r="D311" s="75">
        <f ca="1">IFERROR(__xludf.DUMMYFUNCTION("""COMPUTED_VALUE"""),20)</f>
        <v>20</v>
      </c>
      <c r="E311" s="76">
        <f ca="1">IFERROR(__xludf.DUMMYFUNCTION("""COMPUTED_VALUE"""),240)</f>
        <v>240</v>
      </c>
      <c r="F311" s="77">
        <f ca="1">IFERROR(__xludf.DUMMYFUNCTION("""COMPUTED_VALUE"""),10010491)</f>
        <v>10010491</v>
      </c>
      <c r="G311" s="77" t="str">
        <f t="shared" ca="1" si="1"/>
        <v>si</v>
      </c>
    </row>
    <row r="312" spans="1:7" ht="12.75" x14ac:dyDescent="0.2">
      <c r="A312" s="62">
        <f ca="1">IFERROR(__xludf.DUMMYFUNCTION("""COMPUTED_VALUE"""),10010429)</f>
        <v>10010429</v>
      </c>
      <c r="B312" s="62" t="str">
        <f ca="1">IFERROR(__xludf.DUMMYFUNCTION("""COMPUTED_VALUE"""),"Pantalla Motorolla G50 4G")</f>
        <v>Pantalla Motorolla G50 4G</v>
      </c>
      <c r="C312" s="75">
        <f ca="1">IFERROR(__xludf.DUMMYFUNCTION("""COMPUTED_VALUE"""),180)</f>
        <v>180</v>
      </c>
      <c r="D312" s="75">
        <f ca="1">IFERROR(__xludf.DUMMYFUNCTION("""COMPUTED_VALUE"""),10)</f>
        <v>10</v>
      </c>
      <c r="E312" s="76">
        <f ca="1">IFERROR(__xludf.DUMMYFUNCTION("""COMPUTED_VALUE"""),190)</f>
        <v>190</v>
      </c>
      <c r="F312" s="77">
        <f ca="1">IFERROR(__xludf.DUMMYFUNCTION("""COMPUTED_VALUE"""),10010429)</f>
        <v>10010429</v>
      </c>
      <c r="G312" s="77" t="str">
        <f t="shared" ca="1" si="1"/>
        <v>si</v>
      </c>
    </row>
    <row r="313" spans="1:7" ht="12.75" x14ac:dyDescent="0.2">
      <c r="A313" s="62">
        <f ca="1">IFERROR(__xludf.DUMMYFUNCTION("""COMPUTED_VALUE"""),10010431)</f>
        <v>10010431</v>
      </c>
      <c r="B313" s="62" t="str">
        <f ca="1">IFERROR(__xludf.DUMMYFUNCTION("""COMPUTED_VALUE"""),"Pantalla Motorolla Edge 20 Pro")</f>
        <v>Pantalla Motorolla Edge 20 Pro</v>
      </c>
      <c r="C313" s="75">
        <f ca="1">IFERROR(__xludf.DUMMYFUNCTION("""COMPUTED_VALUE"""),440)</f>
        <v>440</v>
      </c>
      <c r="D313" s="75">
        <f ca="1">IFERROR(__xludf.DUMMYFUNCTION("""COMPUTED_VALUE"""),0)</f>
        <v>0</v>
      </c>
      <c r="E313" s="76">
        <f ca="1">IFERROR(__xludf.DUMMYFUNCTION("""COMPUTED_VALUE"""),440)</f>
        <v>440</v>
      </c>
      <c r="F313" s="77">
        <f ca="1">IFERROR(__xludf.DUMMYFUNCTION("""COMPUTED_VALUE"""),10010431)</f>
        <v>10010431</v>
      </c>
      <c r="G313" s="77" t="str">
        <f t="shared" ca="1" si="1"/>
        <v>si</v>
      </c>
    </row>
    <row r="314" spans="1:7" ht="12.75" x14ac:dyDescent="0.2">
      <c r="A314" s="62">
        <f ca="1">IFERROR(__xludf.DUMMYFUNCTION("""COMPUTED_VALUE"""),10010430)</f>
        <v>10010430</v>
      </c>
      <c r="B314" s="62" t="str">
        <f ca="1">IFERROR(__xludf.DUMMYFUNCTION("""COMPUTED_VALUE"""),"Pantalla Motorolla G60s")</f>
        <v>Pantalla Motorolla G60s</v>
      </c>
      <c r="C314" s="75">
        <f ca="1">IFERROR(__xludf.DUMMYFUNCTION("""COMPUTED_VALUE"""),200)</f>
        <v>200</v>
      </c>
      <c r="D314" s="75">
        <f ca="1">IFERROR(__xludf.DUMMYFUNCTION("""COMPUTED_VALUE"""),20)</f>
        <v>20</v>
      </c>
      <c r="E314" s="76">
        <f ca="1">IFERROR(__xludf.DUMMYFUNCTION("""COMPUTED_VALUE"""),220)</f>
        <v>220</v>
      </c>
      <c r="F314" s="77">
        <f ca="1">IFERROR(__xludf.DUMMYFUNCTION("""COMPUTED_VALUE"""),10010430)</f>
        <v>10010430</v>
      </c>
      <c r="G314" s="77" t="str">
        <f t="shared" ca="1" si="1"/>
        <v>si</v>
      </c>
    </row>
    <row r="315" spans="1:7" ht="12.75" x14ac:dyDescent="0.2">
      <c r="A315" s="62">
        <f ca="1">IFERROR(__xludf.DUMMYFUNCTION("""COMPUTED_VALUE"""),10010437)</f>
        <v>10010437</v>
      </c>
      <c r="B315" s="62" t="str">
        <f ca="1">IFERROR(__xludf.DUMMYFUNCTION("""COMPUTED_VALUE"""),"Pantalla Motorolla G100")</f>
        <v>Pantalla Motorolla G100</v>
      </c>
      <c r="C315" s="75">
        <f ca="1">IFERROR(__xludf.DUMMYFUNCTION("""COMPUTED_VALUE"""),200)</f>
        <v>200</v>
      </c>
      <c r="D315" s="75">
        <f ca="1">IFERROR(__xludf.DUMMYFUNCTION("""COMPUTED_VALUE"""),20)</f>
        <v>20</v>
      </c>
      <c r="E315" s="76">
        <f ca="1">IFERROR(__xludf.DUMMYFUNCTION("""COMPUTED_VALUE"""),220)</f>
        <v>220</v>
      </c>
      <c r="F315" s="77">
        <f ca="1">IFERROR(__xludf.DUMMYFUNCTION("""COMPUTED_VALUE"""),10010437)</f>
        <v>10010437</v>
      </c>
      <c r="G315" s="77" t="str">
        <f t="shared" ca="1" si="1"/>
        <v>si</v>
      </c>
    </row>
    <row r="316" spans="1:7" ht="12.75" x14ac:dyDescent="0.2">
      <c r="A316" s="62">
        <f ca="1">IFERROR(__xludf.DUMMYFUNCTION("""COMPUTED_VALUE"""),10010450)</f>
        <v>10010450</v>
      </c>
      <c r="B316" s="62" t="str">
        <f ca="1">IFERROR(__xludf.DUMMYFUNCTION("""COMPUTED_VALUE"""),"Pantalla Motorolla G200 4g / Edge S30")</f>
        <v>Pantalla Motorolla G200 4g / Edge S30</v>
      </c>
      <c r="C316" s="75">
        <f ca="1">IFERROR(__xludf.DUMMYFUNCTION("""COMPUTED_VALUE"""),210)</f>
        <v>210</v>
      </c>
      <c r="D316" s="75">
        <f ca="1">IFERROR(__xludf.DUMMYFUNCTION("""COMPUTED_VALUE"""),20)</f>
        <v>20</v>
      </c>
      <c r="E316" s="76">
        <f ca="1">IFERROR(__xludf.DUMMYFUNCTION("""COMPUTED_VALUE"""),230)</f>
        <v>230</v>
      </c>
      <c r="F316" s="77">
        <f ca="1">IFERROR(__xludf.DUMMYFUNCTION("""COMPUTED_VALUE"""),10010450)</f>
        <v>10010450</v>
      </c>
      <c r="G316" s="77" t="str">
        <f t="shared" ca="1" si="1"/>
        <v>si</v>
      </c>
    </row>
    <row r="317" spans="1:7" ht="12.75" x14ac:dyDescent="0.2">
      <c r="A317" s="62">
        <f ca="1">IFERROR(__xludf.DUMMYFUNCTION("""COMPUTED_VALUE"""),10010452)</f>
        <v>10010452</v>
      </c>
      <c r="B317" s="62" t="str">
        <f ca="1">IFERROR(__xludf.DUMMYFUNCTION("""COMPUTED_VALUE"""),"Pantalla Motorolla G31")</f>
        <v>Pantalla Motorolla G31</v>
      </c>
      <c r="C317" s="75">
        <f ca="1">IFERROR(__xludf.DUMMYFUNCTION("""COMPUTED_VALUE"""),310)</f>
        <v>310</v>
      </c>
      <c r="D317" s="75">
        <f ca="1">IFERROR(__xludf.DUMMYFUNCTION("""COMPUTED_VALUE"""),20)</f>
        <v>20</v>
      </c>
      <c r="E317" s="76">
        <f ca="1">IFERROR(__xludf.DUMMYFUNCTION("""COMPUTED_VALUE"""),330)</f>
        <v>330</v>
      </c>
      <c r="F317" s="77">
        <f ca="1">IFERROR(__xludf.DUMMYFUNCTION("""COMPUTED_VALUE"""),10010452)</f>
        <v>10010452</v>
      </c>
      <c r="G317" s="77" t="str">
        <f t="shared" ca="1" si="1"/>
        <v>si</v>
      </c>
    </row>
    <row r="318" spans="1:7" ht="12.75" x14ac:dyDescent="0.2">
      <c r="A318" s="62">
        <f ca="1">IFERROR(__xludf.DUMMYFUNCTION("""COMPUTED_VALUE"""),10010453)</f>
        <v>10010453</v>
      </c>
      <c r="B318" s="62" t="str">
        <f ca="1">IFERROR(__xludf.DUMMYFUNCTION("""COMPUTED_VALUE"""),"Pantalla Motorolla G51 5G")</f>
        <v>Pantalla Motorolla G51 5G</v>
      </c>
      <c r="C318" s="75">
        <f ca="1">IFERROR(__xludf.DUMMYFUNCTION("""COMPUTED_VALUE"""),230)</f>
        <v>230</v>
      </c>
      <c r="D318" s="75">
        <f ca="1">IFERROR(__xludf.DUMMYFUNCTION("""COMPUTED_VALUE"""),20)</f>
        <v>20</v>
      </c>
      <c r="E318" s="76">
        <f ca="1">IFERROR(__xludf.DUMMYFUNCTION("""COMPUTED_VALUE"""),250)</f>
        <v>250</v>
      </c>
      <c r="F318" s="77">
        <f ca="1">IFERROR(__xludf.DUMMYFUNCTION("""COMPUTED_VALUE"""),10010453)</f>
        <v>10010453</v>
      </c>
      <c r="G318" s="77" t="str">
        <f t="shared" ca="1" si="1"/>
        <v>si</v>
      </c>
    </row>
    <row r="319" spans="1:7" ht="12.75" x14ac:dyDescent="0.2">
      <c r="A319" s="62">
        <f ca="1">IFERROR(__xludf.DUMMYFUNCTION("""COMPUTED_VALUE"""),10010454)</f>
        <v>10010454</v>
      </c>
      <c r="B319" s="62" t="str">
        <f ca="1">IFERROR(__xludf.DUMMYFUNCTION("""COMPUTED_VALUE"""),"Pantalla Motorolla E20")</f>
        <v>Pantalla Motorolla E20</v>
      </c>
      <c r="C319" s="75">
        <f ca="1">IFERROR(__xludf.DUMMYFUNCTION("""COMPUTED_VALUE"""),170)</f>
        <v>170</v>
      </c>
      <c r="D319" s="75">
        <f ca="1">IFERROR(__xludf.DUMMYFUNCTION("""COMPUTED_VALUE"""),20)</f>
        <v>20</v>
      </c>
      <c r="E319" s="76">
        <f ca="1">IFERROR(__xludf.DUMMYFUNCTION("""COMPUTED_VALUE"""),190)</f>
        <v>190</v>
      </c>
      <c r="F319" s="77">
        <f ca="1">IFERROR(__xludf.DUMMYFUNCTION("""COMPUTED_VALUE"""),10010454)</f>
        <v>10010454</v>
      </c>
      <c r="G319" s="77" t="str">
        <f t="shared" ca="1" si="1"/>
        <v>si</v>
      </c>
    </row>
    <row r="320" spans="1:7" ht="12.75" x14ac:dyDescent="0.2">
      <c r="A320" s="62">
        <f ca="1">IFERROR(__xludf.DUMMYFUNCTION("""COMPUTED_VALUE"""),10010455)</f>
        <v>10010455</v>
      </c>
      <c r="B320" s="62" t="str">
        <f ca="1">IFERROR(__xludf.DUMMYFUNCTION("""COMPUTED_VALUE"""),"Pantalla Motorolla E30")</f>
        <v>Pantalla Motorolla E30</v>
      </c>
      <c r="C320" s="75">
        <f ca="1">IFERROR(__xludf.DUMMYFUNCTION("""COMPUTED_VALUE"""),160)</f>
        <v>160</v>
      </c>
      <c r="D320" s="75">
        <f ca="1">IFERROR(__xludf.DUMMYFUNCTION("""COMPUTED_VALUE"""),30)</f>
        <v>30</v>
      </c>
      <c r="E320" s="76">
        <f ca="1">IFERROR(__xludf.DUMMYFUNCTION("""COMPUTED_VALUE"""),190)</f>
        <v>190</v>
      </c>
      <c r="F320" s="77">
        <f ca="1">IFERROR(__xludf.DUMMYFUNCTION("""COMPUTED_VALUE"""),10010455)</f>
        <v>10010455</v>
      </c>
      <c r="G320" s="77" t="str">
        <f t="shared" ca="1" si="1"/>
        <v>si</v>
      </c>
    </row>
    <row r="321" spans="1:7" ht="12.75" x14ac:dyDescent="0.2">
      <c r="A321" s="62">
        <f ca="1">IFERROR(__xludf.DUMMYFUNCTION("""COMPUTED_VALUE"""),10010456)</f>
        <v>10010456</v>
      </c>
      <c r="B321" s="62" t="str">
        <f ca="1">IFERROR(__xludf.DUMMYFUNCTION("""COMPUTED_VALUE"""),"Pantalla Motorolla Edge 20 Lite 5G")</f>
        <v>Pantalla Motorolla Edge 20 Lite 5G</v>
      </c>
      <c r="C321" s="75">
        <f ca="1">IFERROR(__xludf.DUMMYFUNCTION("""COMPUTED_VALUE"""),320)</f>
        <v>320</v>
      </c>
      <c r="D321" s="75">
        <f ca="1">IFERROR(__xludf.DUMMYFUNCTION("""COMPUTED_VALUE"""),50)</f>
        <v>50</v>
      </c>
      <c r="E321" s="76">
        <f ca="1">IFERROR(__xludf.DUMMYFUNCTION("""COMPUTED_VALUE"""),370)</f>
        <v>370</v>
      </c>
      <c r="F321" s="77">
        <f ca="1">IFERROR(__xludf.DUMMYFUNCTION("""COMPUTED_VALUE"""),10010456)</f>
        <v>10010456</v>
      </c>
      <c r="G321" s="77" t="str">
        <f t="shared" ca="1" si="1"/>
        <v>si</v>
      </c>
    </row>
    <row r="322" spans="1:7" ht="12.75" x14ac:dyDescent="0.2">
      <c r="A322" s="62">
        <f ca="1">IFERROR(__xludf.DUMMYFUNCTION("""COMPUTED_VALUE"""),10010492)</f>
        <v>10010492</v>
      </c>
      <c r="B322" s="62" t="str">
        <f ca="1">IFERROR(__xludf.DUMMYFUNCTION("""COMPUTED_VALUE"""),"Pantalla Motorolla E40")</f>
        <v>Pantalla Motorolla E40</v>
      </c>
      <c r="C322" s="75">
        <f ca="1">IFERROR(__xludf.DUMMYFUNCTION("""COMPUTED_VALUE"""),140)</f>
        <v>140</v>
      </c>
      <c r="D322" s="75">
        <f ca="1">IFERROR(__xludf.DUMMYFUNCTION("""COMPUTED_VALUE"""),50)</f>
        <v>50</v>
      </c>
      <c r="E322" s="76">
        <f ca="1">IFERROR(__xludf.DUMMYFUNCTION("""COMPUTED_VALUE"""),190)</f>
        <v>190</v>
      </c>
      <c r="F322" s="77">
        <f ca="1">IFERROR(__xludf.DUMMYFUNCTION("""COMPUTED_VALUE"""),10010492)</f>
        <v>10010492</v>
      </c>
      <c r="G322" s="77" t="str">
        <f t="shared" ca="1" si="1"/>
        <v>si</v>
      </c>
    </row>
    <row r="323" spans="1:7" ht="12.75" x14ac:dyDescent="0.2">
      <c r="A323" s="62">
        <f ca="1">IFERROR(__xludf.DUMMYFUNCTION("""COMPUTED_VALUE"""),10010255)</f>
        <v>10010255</v>
      </c>
      <c r="B323" s="62" t="str">
        <f ca="1">IFERROR(__xludf.DUMMYFUNCTION("""COMPUTED_VALUE"""),"Pantalla Sony  XA Ultra Original")</f>
        <v>Pantalla Sony  XA Ultra Original</v>
      </c>
      <c r="C323" s="75">
        <f ca="1">IFERROR(__xludf.DUMMYFUNCTION("""COMPUTED_VALUE"""),150)</f>
        <v>150</v>
      </c>
      <c r="D323" s="75">
        <f ca="1">IFERROR(__xludf.DUMMYFUNCTION("""COMPUTED_VALUE"""),0)</f>
        <v>0</v>
      </c>
      <c r="E323" s="76">
        <f ca="1">IFERROR(__xludf.DUMMYFUNCTION("""COMPUTED_VALUE"""),150)</f>
        <v>150</v>
      </c>
      <c r="F323" s="77">
        <f ca="1">IFERROR(__xludf.DUMMYFUNCTION("""COMPUTED_VALUE"""),10010255)</f>
        <v>10010255</v>
      </c>
      <c r="G323" s="77" t="str">
        <f t="shared" ca="1" si="1"/>
        <v>si</v>
      </c>
    </row>
    <row r="324" spans="1:7" ht="12.75" x14ac:dyDescent="0.2">
      <c r="A324" s="62">
        <f ca="1">IFERROR(__xludf.DUMMYFUNCTION("""COMPUTED_VALUE"""),10010257)</f>
        <v>10010257</v>
      </c>
      <c r="B324" s="62" t="str">
        <f ca="1">IFERROR(__xludf.DUMMYFUNCTION("""COMPUTED_VALUE"""),"Pantalla Sony  XA1 Ultra Original")</f>
        <v>Pantalla Sony  XA1 Ultra Original</v>
      </c>
      <c r="C324" s="75">
        <f ca="1">IFERROR(__xludf.DUMMYFUNCTION("""COMPUTED_VALUE"""),140)</f>
        <v>140</v>
      </c>
      <c r="D324" s="75">
        <f ca="1">IFERROR(__xludf.DUMMYFUNCTION("""COMPUTED_VALUE"""),0)</f>
        <v>0</v>
      </c>
      <c r="E324" s="76">
        <f ca="1">IFERROR(__xludf.DUMMYFUNCTION("""COMPUTED_VALUE"""),140)</f>
        <v>140</v>
      </c>
      <c r="F324" s="77">
        <f ca="1">IFERROR(__xludf.DUMMYFUNCTION("""COMPUTED_VALUE"""),10010257)</f>
        <v>10010257</v>
      </c>
      <c r="G324" s="77" t="str">
        <f t="shared" ca="1" si="1"/>
        <v>si</v>
      </c>
    </row>
    <row r="325" spans="1:7" ht="12.75" x14ac:dyDescent="0.2">
      <c r="A325" s="62">
        <f ca="1">IFERROR(__xludf.DUMMYFUNCTION("""COMPUTED_VALUE"""),10010258)</f>
        <v>10010258</v>
      </c>
      <c r="B325" s="62" t="str">
        <f ca="1">IFERROR(__xludf.DUMMYFUNCTION("""COMPUTED_VALUE"""),"Pantalla Sony  XA2  Original")</f>
        <v>Pantalla Sony  XA2  Original</v>
      </c>
      <c r="C325" s="75">
        <f ca="1">IFERROR(__xludf.DUMMYFUNCTION("""COMPUTED_VALUE"""),120)</f>
        <v>120</v>
      </c>
      <c r="D325" s="75">
        <f ca="1">IFERROR(__xludf.DUMMYFUNCTION("""COMPUTED_VALUE"""),0)</f>
        <v>0</v>
      </c>
      <c r="E325" s="76">
        <f ca="1">IFERROR(__xludf.DUMMYFUNCTION("""COMPUTED_VALUE"""),120)</f>
        <v>120</v>
      </c>
      <c r="F325" s="77">
        <f ca="1">IFERROR(__xludf.DUMMYFUNCTION("""COMPUTED_VALUE"""),10010258)</f>
        <v>10010258</v>
      </c>
      <c r="G325" s="77" t="str">
        <f t="shared" ca="1" si="1"/>
        <v>si</v>
      </c>
    </row>
    <row r="326" spans="1:7" ht="12.75" x14ac:dyDescent="0.2">
      <c r="A326" s="62">
        <f ca="1">IFERROR(__xludf.DUMMYFUNCTION("""COMPUTED_VALUE"""),10010259)</f>
        <v>10010259</v>
      </c>
      <c r="B326" s="62" t="str">
        <f ca="1">IFERROR(__xludf.DUMMYFUNCTION("""COMPUTED_VALUE"""),"Pantalla Sony  XA2  Ultra Original")</f>
        <v>Pantalla Sony  XA2  Ultra Original</v>
      </c>
      <c r="C326" s="75">
        <f ca="1">IFERROR(__xludf.DUMMYFUNCTION("""COMPUTED_VALUE"""),150)</f>
        <v>150</v>
      </c>
      <c r="D326" s="75">
        <f ca="1">IFERROR(__xludf.DUMMYFUNCTION("""COMPUTED_VALUE"""),0)</f>
        <v>0</v>
      </c>
      <c r="E326" s="76">
        <f ca="1">IFERROR(__xludf.DUMMYFUNCTION("""COMPUTED_VALUE"""),150)</f>
        <v>150</v>
      </c>
      <c r="F326" s="77">
        <f ca="1">IFERROR(__xludf.DUMMYFUNCTION("""COMPUTED_VALUE"""),10010259)</f>
        <v>10010259</v>
      </c>
      <c r="G326" s="77" t="str">
        <f t="shared" ca="1" si="1"/>
        <v>si</v>
      </c>
    </row>
    <row r="327" spans="1:7" ht="12.75" x14ac:dyDescent="0.2">
      <c r="A327" s="62">
        <f ca="1">IFERROR(__xludf.DUMMYFUNCTION("""COMPUTED_VALUE"""),10010260)</f>
        <v>10010260</v>
      </c>
      <c r="B327" s="62" t="str">
        <f ca="1">IFERROR(__xludf.DUMMYFUNCTION("""COMPUTED_VALUE"""),"Pantalla Sony  XZ Premium Original")</f>
        <v>Pantalla Sony  XZ Premium Original</v>
      </c>
      <c r="C327" s="75">
        <f ca="1">IFERROR(__xludf.DUMMYFUNCTION("""COMPUTED_VALUE"""),180)</f>
        <v>180</v>
      </c>
      <c r="D327" s="75">
        <f ca="1">IFERROR(__xludf.DUMMYFUNCTION("""COMPUTED_VALUE"""),0)</f>
        <v>0</v>
      </c>
      <c r="E327" s="76">
        <f ca="1">IFERROR(__xludf.DUMMYFUNCTION("""COMPUTED_VALUE"""),180)</f>
        <v>180</v>
      </c>
      <c r="F327" s="77">
        <f ca="1">IFERROR(__xludf.DUMMYFUNCTION("""COMPUTED_VALUE"""),10010260)</f>
        <v>10010260</v>
      </c>
      <c r="G327" s="77" t="str">
        <f t="shared" ca="1" si="1"/>
        <v>si</v>
      </c>
    </row>
    <row r="328" spans="1:7" ht="12.75" x14ac:dyDescent="0.2">
      <c r="A328" s="62">
        <f ca="1">IFERROR(__xludf.DUMMYFUNCTION("""COMPUTED_VALUE"""),10010261)</f>
        <v>10010261</v>
      </c>
      <c r="B328" s="62" t="str">
        <f ca="1">IFERROR(__xludf.DUMMYFUNCTION("""COMPUTED_VALUE"""),"Pantalla Sony  Z1 Original")</f>
        <v>Pantalla Sony  Z1 Original</v>
      </c>
      <c r="C328" s="75">
        <f ca="1">IFERROR(__xludf.DUMMYFUNCTION("""COMPUTED_VALUE"""),60)</f>
        <v>60</v>
      </c>
      <c r="D328" s="75">
        <f ca="1">IFERROR(__xludf.DUMMYFUNCTION("""COMPUTED_VALUE"""),0)</f>
        <v>0</v>
      </c>
      <c r="E328" s="76">
        <f ca="1">IFERROR(__xludf.DUMMYFUNCTION("""COMPUTED_VALUE"""),60)</f>
        <v>60</v>
      </c>
      <c r="F328" s="77">
        <f ca="1">IFERROR(__xludf.DUMMYFUNCTION("""COMPUTED_VALUE"""),10010261)</f>
        <v>10010261</v>
      </c>
      <c r="G328" s="77" t="str">
        <f t="shared" ca="1" si="1"/>
        <v>si</v>
      </c>
    </row>
    <row r="329" spans="1:7" ht="12.75" x14ac:dyDescent="0.2">
      <c r="A329" s="62">
        <f ca="1">IFERROR(__xludf.DUMMYFUNCTION("""COMPUTED_VALUE"""),10010262)</f>
        <v>10010262</v>
      </c>
      <c r="B329" s="62" t="str">
        <f ca="1">IFERROR(__xludf.DUMMYFUNCTION("""COMPUTED_VALUE"""),"Pantalla Sony  Z2 Original")</f>
        <v>Pantalla Sony  Z2 Original</v>
      </c>
      <c r="C329" s="75">
        <f ca="1">IFERROR(__xludf.DUMMYFUNCTION("""COMPUTED_VALUE"""),80)</f>
        <v>80</v>
      </c>
      <c r="D329" s="75">
        <f ca="1">IFERROR(__xludf.DUMMYFUNCTION("""COMPUTED_VALUE"""),0)</f>
        <v>0</v>
      </c>
      <c r="E329" s="76">
        <f ca="1">IFERROR(__xludf.DUMMYFUNCTION("""COMPUTED_VALUE"""),80)</f>
        <v>80</v>
      </c>
      <c r="F329" s="77">
        <f ca="1">IFERROR(__xludf.DUMMYFUNCTION("""COMPUTED_VALUE"""),10010262)</f>
        <v>10010262</v>
      </c>
      <c r="G329" s="77" t="str">
        <f t="shared" ca="1" si="1"/>
        <v>si</v>
      </c>
    </row>
    <row r="330" spans="1:7" ht="12.75" x14ac:dyDescent="0.2">
      <c r="A330" s="62">
        <f ca="1">IFERROR(__xludf.DUMMYFUNCTION("""COMPUTED_VALUE"""),10010263)</f>
        <v>10010263</v>
      </c>
      <c r="B330" s="62" t="str">
        <f ca="1">IFERROR(__xludf.DUMMYFUNCTION("""COMPUTED_VALUE"""),"Pantalla Sony  Z3 Original")</f>
        <v>Pantalla Sony  Z3 Original</v>
      </c>
      <c r="C330" s="75">
        <f ca="1">IFERROR(__xludf.DUMMYFUNCTION("""COMPUTED_VALUE"""),100)</f>
        <v>100</v>
      </c>
      <c r="D330" s="75">
        <f ca="1">IFERROR(__xludf.DUMMYFUNCTION("""COMPUTED_VALUE"""),0)</f>
        <v>0</v>
      </c>
      <c r="E330" s="76">
        <f ca="1">IFERROR(__xludf.DUMMYFUNCTION("""COMPUTED_VALUE"""),100)</f>
        <v>100</v>
      </c>
      <c r="F330" s="77">
        <f ca="1">IFERROR(__xludf.DUMMYFUNCTION("""COMPUTED_VALUE"""),10010263)</f>
        <v>10010263</v>
      </c>
      <c r="G330" s="77" t="str">
        <f t="shared" ca="1" si="1"/>
        <v>si</v>
      </c>
    </row>
    <row r="331" spans="1:7" ht="12.75" x14ac:dyDescent="0.2">
      <c r="A331" s="62">
        <f ca="1">IFERROR(__xludf.DUMMYFUNCTION("""COMPUTED_VALUE"""),10010264)</f>
        <v>10010264</v>
      </c>
      <c r="B331" s="62" t="str">
        <f ca="1">IFERROR(__xludf.DUMMYFUNCTION("""COMPUTED_VALUE"""),"Pantalla Sony  Z4 (Z3 PLUS) Original")</f>
        <v>Pantalla Sony  Z4 (Z3 PLUS) Original</v>
      </c>
      <c r="C331" s="75">
        <f ca="1">IFERROR(__xludf.DUMMYFUNCTION("""COMPUTED_VALUE"""),105)</f>
        <v>105</v>
      </c>
      <c r="D331" s="75">
        <f ca="1">IFERROR(__xludf.DUMMYFUNCTION("""COMPUTED_VALUE"""),0)</f>
        <v>0</v>
      </c>
      <c r="E331" s="76">
        <f ca="1">IFERROR(__xludf.DUMMYFUNCTION("""COMPUTED_VALUE"""),105)</f>
        <v>105</v>
      </c>
      <c r="F331" s="77">
        <f ca="1">IFERROR(__xludf.DUMMYFUNCTION("""COMPUTED_VALUE"""),10010264)</f>
        <v>10010264</v>
      </c>
      <c r="G331" s="77" t="str">
        <f t="shared" ca="1" si="1"/>
        <v>si</v>
      </c>
    </row>
    <row r="332" spans="1:7" ht="12.75" x14ac:dyDescent="0.2">
      <c r="A332" s="62">
        <f ca="1">IFERROR(__xludf.DUMMYFUNCTION("""COMPUTED_VALUE"""),10010266)</f>
        <v>10010266</v>
      </c>
      <c r="B332" s="62" t="str">
        <f ca="1">IFERROR(__xludf.DUMMYFUNCTION("""COMPUTED_VALUE"""),"Pantalla Sony  Z5 Original")</f>
        <v>Pantalla Sony  Z5 Original</v>
      </c>
      <c r="C332" s="75">
        <f ca="1">IFERROR(__xludf.DUMMYFUNCTION("""COMPUTED_VALUE"""),100)</f>
        <v>100</v>
      </c>
      <c r="D332" s="75">
        <f ca="1">IFERROR(__xludf.DUMMYFUNCTION("""COMPUTED_VALUE"""),0)</f>
        <v>0</v>
      </c>
      <c r="E332" s="76">
        <f ca="1">IFERROR(__xludf.DUMMYFUNCTION("""COMPUTED_VALUE"""),100)</f>
        <v>100</v>
      </c>
      <c r="F332" s="77">
        <f ca="1">IFERROR(__xludf.DUMMYFUNCTION("""COMPUTED_VALUE"""),10010266)</f>
        <v>10010266</v>
      </c>
      <c r="G332" s="77" t="str">
        <f t="shared" ca="1" si="1"/>
        <v>si</v>
      </c>
    </row>
    <row r="333" spans="1:7" ht="12.75" x14ac:dyDescent="0.2">
      <c r="A333" s="62">
        <f ca="1">IFERROR(__xludf.DUMMYFUNCTION("""COMPUTED_VALUE"""),10010250)</f>
        <v>10010250</v>
      </c>
      <c r="B333" s="62" t="str">
        <f ca="1">IFERROR(__xludf.DUMMYFUNCTION("""COMPUTED_VALUE"""),"Pantalla Sony  E5 Original")</f>
        <v>Pantalla Sony  E5 Original</v>
      </c>
      <c r="C333" s="75">
        <f ca="1">IFERROR(__xludf.DUMMYFUNCTION("""COMPUTED_VALUE"""),60)</f>
        <v>60</v>
      </c>
      <c r="D333" s="75">
        <f ca="1">IFERROR(__xludf.DUMMYFUNCTION("""COMPUTED_VALUE"""),0)</f>
        <v>0</v>
      </c>
      <c r="E333" s="76">
        <f ca="1">IFERROR(__xludf.DUMMYFUNCTION("""COMPUTED_VALUE"""),60)</f>
        <v>60</v>
      </c>
      <c r="F333" s="77">
        <f ca="1">IFERROR(__xludf.DUMMYFUNCTION("""COMPUTED_VALUE"""),10010250)</f>
        <v>10010250</v>
      </c>
      <c r="G333" s="77" t="str">
        <f t="shared" ca="1" si="1"/>
        <v>si</v>
      </c>
    </row>
    <row r="334" spans="1:7" ht="12.75" x14ac:dyDescent="0.2">
      <c r="A334" s="62">
        <f ca="1">IFERROR(__xludf.DUMMYFUNCTION("""COMPUTED_VALUE"""),10010253)</f>
        <v>10010253</v>
      </c>
      <c r="B334" s="62" t="str">
        <f ca="1">IFERROR(__xludf.DUMMYFUNCTION("""COMPUTED_VALUE"""),"Pantalla Sony  M4 - M4 AQUA Original")</f>
        <v>Pantalla Sony  M4 - M4 AQUA Original</v>
      </c>
      <c r="C334" s="75">
        <f ca="1">IFERROR(__xludf.DUMMYFUNCTION("""COMPUTED_VALUE"""),75)</f>
        <v>75</v>
      </c>
      <c r="D334" s="75">
        <f ca="1">IFERROR(__xludf.DUMMYFUNCTION("""COMPUTED_VALUE"""),0)</f>
        <v>0</v>
      </c>
      <c r="E334" s="76">
        <f ca="1">IFERROR(__xludf.DUMMYFUNCTION("""COMPUTED_VALUE"""),75)</f>
        <v>75</v>
      </c>
      <c r="F334" s="77">
        <f ca="1">IFERROR(__xludf.DUMMYFUNCTION("""COMPUTED_VALUE"""),10010253)</f>
        <v>10010253</v>
      </c>
      <c r="G334" s="77" t="str">
        <f t="shared" ca="1" si="1"/>
        <v>si</v>
      </c>
    </row>
    <row r="335" spans="1:7" ht="12.75" x14ac:dyDescent="0.2">
      <c r="A335" s="62">
        <f ca="1">IFERROR(__xludf.DUMMYFUNCTION("""COMPUTED_VALUE"""),10010254)</f>
        <v>10010254</v>
      </c>
      <c r="B335" s="62" t="str">
        <f ca="1">IFERROR(__xludf.DUMMYFUNCTION("""COMPUTED_VALUE"""),"Pantalla Sony  M5 Original")</f>
        <v>Pantalla Sony  M5 Original</v>
      </c>
      <c r="C335" s="75">
        <f ca="1">IFERROR(__xludf.DUMMYFUNCTION("""COMPUTED_VALUE"""),80)</f>
        <v>80</v>
      </c>
      <c r="D335" s="75">
        <f ca="1">IFERROR(__xludf.DUMMYFUNCTION("""COMPUTED_VALUE"""),0)</f>
        <v>0</v>
      </c>
      <c r="E335" s="76">
        <f ca="1">IFERROR(__xludf.DUMMYFUNCTION("""COMPUTED_VALUE"""),80)</f>
        <v>80</v>
      </c>
      <c r="F335" s="77">
        <f ca="1">IFERROR(__xludf.DUMMYFUNCTION("""COMPUTED_VALUE"""),10010254)</f>
        <v>10010254</v>
      </c>
      <c r="G335" s="77" t="str">
        <f t="shared" ca="1" si="1"/>
        <v>si</v>
      </c>
    </row>
    <row r="336" spans="1:7" ht="12.75" x14ac:dyDescent="0.2">
      <c r="A336" s="62">
        <f ca="1">IFERROR(__xludf.DUMMYFUNCTION("""COMPUTED_VALUE"""),10010248)</f>
        <v>10010248</v>
      </c>
      <c r="B336" s="62" t="str">
        <f ca="1">IFERROR(__xludf.DUMMYFUNCTION("""COMPUTED_VALUE"""),"Pantalla Sony  C4 Original")</f>
        <v>Pantalla Sony  C4 Original</v>
      </c>
      <c r="C336" s="75">
        <f ca="1">IFERROR(__xludf.DUMMYFUNCTION("""COMPUTED_VALUE"""),90)</f>
        <v>90</v>
      </c>
      <c r="D336" s="75">
        <f ca="1">IFERROR(__xludf.DUMMYFUNCTION("""COMPUTED_VALUE"""),0)</f>
        <v>0</v>
      </c>
      <c r="E336" s="76">
        <f ca="1">IFERROR(__xludf.DUMMYFUNCTION("""COMPUTED_VALUE"""),90)</f>
        <v>90</v>
      </c>
      <c r="F336" s="77">
        <f ca="1">IFERROR(__xludf.DUMMYFUNCTION("""COMPUTED_VALUE"""),10010248)</f>
        <v>10010248</v>
      </c>
      <c r="G336" s="77" t="str">
        <f t="shared" ca="1" si="1"/>
        <v>si</v>
      </c>
    </row>
    <row r="337" spans="1:7" ht="12.75" x14ac:dyDescent="0.2">
      <c r="A337" s="62">
        <f ca="1">IFERROR(__xludf.DUMMYFUNCTION("""COMPUTED_VALUE"""),10010249)</f>
        <v>10010249</v>
      </c>
      <c r="B337" s="62" t="str">
        <f ca="1">IFERROR(__xludf.DUMMYFUNCTION("""COMPUTED_VALUE"""),"Pantalla Sony  C5 - C5 ULTRA Original")</f>
        <v>Pantalla Sony  C5 - C5 ULTRA Original</v>
      </c>
      <c r="C337" s="75">
        <f ca="1">IFERROR(__xludf.DUMMYFUNCTION("""COMPUTED_VALUE"""),110)</f>
        <v>110</v>
      </c>
      <c r="D337" s="75">
        <f ca="1">IFERROR(__xludf.DUMMYFUNCTION("""COMPUTED_VALUE"""),0)</f>
        <v>0</v>
      </c>
      <c r="E337" s="76">
        <f ca="1">IFERROR(__xludf.DUMMYFUNCTION("""COMPUTED_VALUE"""),110)</f>
        <v>110</v>
      </c>
      <c r="F337" s="77">
        <f ca="1">IFERROR(__xludf.DUMMYFUNCTION("""COMPUTED_VALUE"""),10010249)</f>
        <v>10010249</v>
      </c>
      <c r="G337" s="77" t="str">
        <f t="shared" ca="1" si="1"/>
        <v>si</v>
      </c>
    </row>
    <row r="338" spans="1:7" ht="12.75" x14ac:dyDescent="0.2">
      <c r="A338" s="62">
        <f ca="1">IFERROR(__xludf.DUMMYFUNCTION("""COMPUTED_VALUE"""),10010251)</f>
        <v>10010251</v>
      </c>
      <c r="B338" s="62" t="str">
        <f ca="1">IFERROR(__xludf.DUMMYFUNCTION("""COMPUTED_VALUE"""),"Pantalla Sony  L1 Original")</f>
        <v>Pantalla Sony  L1 Original</v>
      </c>
      <c r="C338" s="75">
        <f ca="1">IFERROR(__xludf.DUMMYFUNCTION("""COMPUTED_VALUE"""),100)</f>
        <v>100</v>
      </c>
      <c r="D338" s="75">
        <f ca="1">IFERROR(__xludf.DUMMYFUNCTION("""COMPUTED_VALUE"""),0)</f>
        <v>0</v>
      </c>
      <c r="E338" s="76">
        <f ca="1">IFERROR(__xludf.DUMMYFUNCTION("""COMPUTED_VALUE"""),100)</f>
        <v>100</v>
      </c>
      <c r="F338" s="77">
        <f ca="1">IFERROR(__xludf.DUMMYFUNCTION("""COMPUTED_VALUE"""),10010251)</f>
        <v>10010251</v>
      </c>
      <c r="G338" s="77" t="str">
        <f t="shared" ca="1" si="1"/>
        <v>si</v>
      </c>
    </row>
    <row r="339" spans="1:7" ht="12.75" x14ac:dyDescent="0.2">
      <c r="A339" s="62">
        <f ca="1">IFERROR(__xludf.DUMMYFUNCTION("""COMPUTED_VALUE"""),10010252)</f>
        <v>10010252</v>
      </c>
      <c r="B339" s="62" t="str">
        <f ca="1">IFERROR(__xludf.DUMMYFUNCTION("""COMPUTED_VALUE"""),"Pantalla Sony  L2 Original")</f>
        <v>Pantalla Sony  L2 Original</v>
      </c>
      <c r="C339" s="75">
        <f ca="1">IFERROR(__xludf.DUMMYFUNCTION("""COMPUTED_VALUE"""),120)</f>
        <v>120</v>
      </c>
      <c r="D339" s="75">
        <f ca="1">IFERROR(__xludf.DUMMYFUNCTION("""COMPUTED_VALUE"""),0)</f>
        <v>0</v>
      </c>
      <c r="E339" s="76">
        <f ca="1">IFERROR(__xludf.DUMMYFUNCTION("""COMPUTED_VALUE"""),120)</f>
        <v>120</v>
      </c>
      <c r="F339" s="77">
        <f ca="1">IFERROR(__xludf.DUMMYFUNCTION("""COMPUTED_VALUE"""),10010252)</f>
        <v>10010252</v>
      </c>
      <c r="G339" s="77" t="str">
        <f t="shared" ca="1" si="1"/>
        <v>si</v>
      </c>
    </row>
    <row r="340" spans="1:7" ht="12.75" x14ac:dyDescent="0.2">
      <c r="A340" s="62">
        <f ca="1">IFERROR(__xludf.DUMMYFUNCTION("""COMPUTED_VALUE"""),10010300)</f>
        <v>10010300</v>
      </c>
      <c r="B340" s="62" t="str">
        <f ca="1">IFERROR(__xludf.DUMMYFUNCTION("""COMPUTED_VALUE"""),"Pantalla Xiaomi  PocoPhone Oled")</f>
        <v>Pantalla Xiaomi  PocoPhone Oled</v>
      </c>
      <c r="C340" s="75">
        <f ca="1">IFERROR(__xludf.DUMMYFUNCTION("""COMPUTED_VALUE"""),110)</f>
        <v>110</v>
      </c>
      <c r="D340" s="75">
        <f ca="1">IFERROR(__xludf.DUMMYFUNCTION("""COMPUTED_VALUE"""),0)</f>
        <v>0</v>
      </c>
      <c r="E340" s="76">
        <f ca="1">IFERROR(__xludf.DUMMYFUNCTION("""COMPUTED_VALUE"""),110)</f>
        <v>110</v>
      </c>
      <c r="F340" s="77">
        <f ca="1">IFERROR(__xludf.DUMMYFUNCTION("""COMPUTED_VALUE"""),10010300)</f>
        <v>10010300</v>
      </c>
      <c r="G340" s="77" t="str">
        <f t="shared" ca="1" si="1"/>
        <v>si</v>
      </c>
    </row>
    <row r="341" spans="1:7" ht="12.75" x14ac:dyDescent="0.2">
      <c r="A341" s="62">
        <f ca="1">IFERROR(__xludf.DUMMYFUNCTION("""COMPUTED_VALUE"""),10010299)</f>
        <v>10010299</v>
      </c>
      <c r="B341" s="62" t="str">
        <f ca="1">IFERROR(__xludf.DUMMYFUNCTION("""COMPUTED_VALUE"""),"Pantalla Xiaomi  PocoPhone F2 Oled")</f>
        <v>Pantalla Xiaomi  PocoPhone F2 Oled</v>
      </c>
      <c r="C341" s="75">
        <f ca="1">IFERROR(__xludf.DUMMYFUNCTION("""COMPUTED_VALUE"""),160)</f>
        <v>160</v>
      </c>
      <c r="D341" s="75">
        <f ca="1">IFERROR(__xludf.DUMMYFUNCTION("""COMPUTED_VALUE"""),0)</f>
        <v>0</v>
      </c>
      <c r="E341" s="76">
        <f ca="1">IFERROR(__xludf.DUMMYFUNCTION("""COMPUTED_VALUE"""),160)</f>
        <v>160</v>
      </c>
      <c r="F341" s="77">
        <f ca="1">IFERROR(__xludf.DUMMYFUNCTION("""COMPUTED_VALUE"""),10010299)</f>
        <v>10010299</v>
      </c>
      <c r="G341" s="77" t="str">
        <f t="shared" ca="1" si="1"/>
        <v>si</v>
      </c>
    </row>
    <row r="342" spans="1:7" ht="12.75" x14ac:dyDescent="0.2">
      <c r="A342" s="62">
        <f ca="1">IFERROR(__xludf.DUMMYFUNCTION("""COMPUTED_VALUE"""),10160190)</f>
        <v>10160190</v>
      </c>
      <c r="B342" s="62" t="str">
        <f ca="1">IFERROR(__xludf.DUMMYFUNCTION("""COMPUTED_VALUE"""),"Pantalla Xiaomi  PocoPhone F2 Pro Oled")</f>
        <v>Pantalla Xiaomi  PocoPhone F2 Pro Oled</v>
      </c>
      <c r="C342" s="75">
        <f ca="1">IFERROR(__xludf.DUMMYFUNCTION("""COMPUTED_VALUE"""),410)</f>
        <v>410</v>
      </c>
      <c r="D342" s="75">
        <f ca="1">IFERROR(__xludf.DUMMYFUNCTION("""COMPUTED_VALUE"""),0)</f>
        <v>0</v>
      </c>
      <c r="E342" s="76">
        <f ca="1">IFERROR(__xludf.DUMMYFUNCTION("""COMPUTED_VALUE"""),410)</f>
        <v>410</v>
      </c>
      <c r="F342" s="77">
        <f ca="1">IFERROR(__xludf.DUMMYFUNCTION("""COMPUTED_VALUE"""),10160190)</f>
        <v>10160190</v>
      </c>
      <c r="G342" s="77" t="str">
        <f t="shared" ca="1" si="1"/>
        <v>si</v>
      </c>
    </row>
    <row r="343" spans="1:7" ht="12.75" x14ac:dyDescent="0.2">
      <c r="A343" s="62">
        <f ca="1">IFERROR(__xludf.DUMMYFUNCTION("""COMPUTED_VALUE"""),10010508)</f>
        <v>10010508</v>
      </c>
      <c r="B343" s="62" t="str">
        <f ca="1">IFERROR(__xludf.DUMMYFUNCTION("""COMPUTED_VALUE"""),"Pantalla Xiaomi Mi Mix")</f>
        <v>Pantalla Xiaomi Mi Mix</v>
      </c>
      <c r="C343" s="75">
        <f ca="1">IFERROR(__xludf.DUMMYFUNCTION("""COMPUTED_VALUE"""),100)</f>
        <v>100</v>
      </c>
      <c r="D343" s="75">
        <f ca="1">IFERROR(__xludf.DUMMYFUNCTION("""COMPUTED_VALUE"""),0)</f>
        <v>0</v>
      </c>
      <c r="E343" s="76">
        <f ca="1">IFERROR(__xludf.DUMMYFUNCTION("""COMPUTED_VALUE"""),100)</f>
        <v>100</v>
      </c>
      <c r="F343" s="77">
        <f ca="1">IFERROR(__xludf.DUMMYFUNCTION("""COMPUTED_VALUE"""),10010508)</f>
        <v>10010508</v>
      </c>
      <c r="G343" s="77" t="str">
        <f t="shared" ca="1" si="1"/>
        <v>si</v>
      </c>
    </row>
    <row r="344" spans="1:7" ht="12.75" x14ac:dyDescent="0.2">
      <c r="A344" s="62">
        <f ca="1">IFERROR(__xludf.DUMMYFUNCTION("""COMPUTED_VALUE"""),10010281)</f>
        <v>10010281</v>
      </c>
      <c r="B344" s="62" t="str">
        <f ca="1">IFERROR(__xludf.DUMMYFUNCTION("""COMPUTED_VALUE"""),"Pantalla Xiaomi  Mi Mix 2s - Mi Mix 2  Oled")</f>
        <v>Pantalla Xiaomi  Mi Mix 2s - Mi Mix 2  Oled</v>
      </c>
      <c r="C344" s="75">
        <f ca="1">IFERROR(__xludf.DUMMYFUNCTION("""COMPUTED_VALUE"""),120)</f>
        <v>120</v>
      </c>
      <c r="D344" s="75">
        <f ca="1">IFERROR(__xludf.DUMMYFUNCTION("""COMPUTED_VALUE"""),0)</f>
        <v>0</v>
      </c>
      <c r="E344" s="76">
        <f ca="1">IFERROR(__xludf.DUMMYFUNCTION("""COMPUTED_VALUE"""),120)</f>
        <v>120</v>
      </c>
      <c r="F344" s="77">
        <f ca="1">IFERROR(__xludf.DUMMYFUNCTION("""COMPUTED_VALUE"""),10010281)</f>
        <v>10010281</v>
      </c>
      <c r="G344" s="77" t="str">
        <f t="shared" ca="1" si="1"/>
        <v>si</v>
      </c>
    </row>
    <row r="345" spans="1:7" ht="12.75" x14ac:dyDescent="0.2">
      <c r="A345" s="62">
        <f ca="1">IFERROR(__xludf.DUMMYFUNCTION("""COMPUTED_VALUE"""),10010501)</f>
        <v>10010501</v>
      </c>
      <c r="B345" s="62" t="str">
        <f ca="1">IFERROR(__xludf.DUMMYFUNCTION("""COMPUTED_VALUE"""),"Pantalla Xiaomi  Mi Max 3 Oled")</f>
        <v>Pantalla Xiaomi  Mi Max 3 Oled</v>
      </c>
      <c r="C345" s="75">
        <f ca="1">IFERROR(__xludf.DUMMYFUNCTION("""COMPUTED_VALUE"""),360)</f>
        <v>360</v>
      </c>
      <c r="D345" s="75">
        <f ca="1">IFERROR(__xludf.DUMMYFUNCTION("""COMPUTED_VALUE"""),0)</f>
        <v>0</v>
      </c>
      <c r="E345" s="76">
        <f ca="1">IFERROR(__xludf.DUMMYFUNCTION("""COMPUTED_VALUE"""),360)</f>
        <v>360</v>
      </c>
      <c r="F345" s="77">
        <f ca="1">IFERROR(__xludf.DUMMYFUNCTION("""COMPUTED_VALUE"""),10010501)</f>
        <v>10010501</v>
      </c>
      <c r="G345" s="77" t="str">
        <f t="shared" ca="1" si="1"/>
        <v>si</v>
      </c>
    </row>
    <row r="346" spans="1:7" ht="12.75" x14ac:dyDescent="0.2">
      <c r="A346" s="62">
        <f ca="1">IFERROR(__xludf.DUMMYFUNCTION("""COMPUTED_VALUE"""),10010278)</f>
        <v>10010278</v>
      </c>
      <c r="B346" s="62" t="str">
        <f ca="1">IFERROR(__xludf.DUMMYFUNCTION("""COMPUTED_VALUE"""),"Pantalla Xiaomi  Mi A2 Oled")</f>
        <v>Pantalla Xiaomi  Mi A2 Oled</v>
      </c>
      <c r="C346" s="75">
        <f ca="1">IFERROR(__xludf.DUMMYFUNCTION("""COMPUTED_VALUE"""),130)</f>
        <v>130</v>
      </c>
      <c r="D346" s="75">
        <f ca="1">IFERROR(__xludf.DUMMYFUNCTION("""COMPUTED_VALUE"""),0)</f>
        <v>0</v>
      </c>
      <c r="E346" s="76">
        <f ca="1">IFERROR(__xludf.DUMMYFUNCTION("""COMPUTED_VALUE"""),130)</f>
        <v>130</v>
      </c>
      <c r="F346" s="77">
        <f ca="1">IFERROR(__xludf.DUMMYFUNCTION("""COMPUTED_VALUE"""),10010278)</f>
        <v>10010278</v>
      </c>
      <c r="G346" s="77" t="str">
        <f t="shared" ca="1" si="1"/>
        <v>si</v>
      </c>
    </row>
    <row r="347" spans="1:7" ht="12.75" x14ac:dyDescent="0.2">
      <c r="A347" s="62">
        <f ca="1">IFERROR(__xludf.DUMMYFUNCTION("""COMPUTED_VALUE"""),10010279)</f>
        <v>10010279</v>
      </c>
      <c r="B347" s="62" t="str">
        <f ca="1">IFERROR(__xludf.DUMMYFUNCTION("""COMPUTED_VALUE"""),"Pantalla Xiaomi  Mi A3 Oled")</f>
        <v>Pantalla Xiaomi  Mi A3 Oled</v>
      </c>
      <c r="C347" s="75">
        <f ca="1">IFERROR(__xludf.DUMMYFUNCTION("""COMPUTED_VALUE"""),240)</f>
        <v>240</v>
      </c>
      <c r="D347" s="75">
        <f ca="1">IFERROR(__xludf.DUMMYFUNCTION("""COMPUTED_VALUE"""),0)</f>
        <v>0</v>
      </c>
      <c r="E347" s="76">
        <f ca="1">IFERROR(__xludf.DUMMYFUNCTION("""COMPUTED_VALUE"""),240)</f>
        <v>240</v>
      </c>
      <c r="F347" s="77">
        <f ca="1">IFERROR(__xludf.DUMMYFUNCTION("""COMPUTED_VALUE"""),10010279)</f>
        <v>10010279</v>
      </c>
      <c r="G347" s="77" t="str">
        <f t="shared" ca="1" si="1"/>
        <v>si</v>
      </c>
    </row>
    <row r="348" spans="1:7" ht="12.75" x14ac:dyDescent="0.2">
      <c r="A348" s="62">
        <f ca="1">IFERROR(__xludf.DUMMYFUNCTION("""COMPUTED_VALUE"""),10010277)</f>
        <v>10010277</v>
      </c>
      <c r="B348" s="62" t="str">
        <f ca="1">IFERROR(__xludf.DUMMYFUNCTION("""COMPUTED_VALUE"""),"Pantalla Xiaomi  Mi A2 Lite - Redmi 6Pro Oled")</f>
        <v>Pantalla Xiaomi  Mi A2 Lite - Redmi 6Pro Oled</v>
      </c>
      <c r="C348" s="75">
        <f ca="1">IFERROR(__xludf.DUMMYFUNCTION("""COMPUTED_VALUE"""),120)</f>
        <v>120</v>
      </c>
      <c r="D348" s="75">
        <f ca="1">IFERROR(__xludf.DUMMYFUNCTION("""COMPUTED_VALUE"""),0)</f>
        <v>0</v>
      </c>
      <c r="E348" s="76">
        <f ca="1">IFERROR(__xludf.DUMMYFUNCTION("""COMPUTED_VALUE"""),120)</f>
        <v>120</v>
      </c>
      <c r="F348" s="77">
        <f ca="1">IFERROR(__xludf.DUMMYFUNCTION("""COMPUTED_VALUE"""),10010277)</f>
        <v>10010277</v>
      </c>
      <c r="G348" s="77" t="str">
        <f t="shared" ca="1" si="1"/>
        <v>si</v>
      </c>
    </row>
    <row r="349" spans="1:7" ht="12.75" x14ac:dyDescent="0.2">
      <c r="A349" s="62">
        <f ca="1">IFERROR(__xludf.DUMMYFUNCTION("""COMPUTED_VALUE"""),10010276)</f>
        <v>10010276</v>
      </c>
      <c r="B349" s="62" t="str">
        <f ca="1">IFERROR(__xludf.DUMMYFUNCTION("""COMPUTED_VALUE"""),"Pantalla Xiaomi  Mi A1 Oled")</f>
        <v>Pantalla Xiaomi  Mi A1 Oled</v>
      </c>
      <c r="C349" s="75">
        <f ca="1">IFERROR(__xludf.DUMMYFUNCTION("""COMPUTED_VALUE"""),100)</f>
        <v>100</v>
      </c>
      <c r="D349" s="75">
        <f ca="1">IFERROR(__xludf.DUMMYFUNCTION("""COMPUTED_VALUE"""),0)</f>
        <v>0</v>
      </c>
      <c r="E349" s="76">
        <f ca="1">IFERROR(__xludf.DUMMYFUNCTION("""COMPUTED_VALUE"""),100)</f>
        <v>100</v>
      </c>
      <c r="F349" s="77">
        <f ca="1">IFERROR(__xludf.DUMMYFUNCTION("""COMPUTED_VALUE"""),10010276)</f>
        <v>10010276</v>
      </c>
      <c r="G349" s="77" t="str">
        <f t="shared" ca="1" si="1"/>
        <v>si</v>
      </c>
    </row>
    <row r="350" spans="1:7" ht="12.75" x14ac:dyDescent="0.2">
      <c r="A350" s="62">
        <f ca="1">IFERROR(__xludf.DUMMYFUNCTION("""COMPUTED_VALUE"""),10010267)</f>
        <v>10010267</v>
      </c>
      <c r="B350" s="62" t="str">
        <f ca="1">IFERROR(__xludf.DUMMYFUNCTION("""COMPUTED_VALUE"""),"Pantalla Xiaomi  Poco X3 - X3 Pro - Mi 10t lite - note 9 pro 5g -Poco X3 NFC")</f>
        <v>Pantalla Xiaomi  Poco X3 - X3 Pro - Mi 10t lite - note 9 pro 5g -Poco X3 NFC</v>
      </c>
      <c r="C350" s="75">
        <f ca="1">IFERROR(__xludf.DUMMYFUNCTION("""COMPUTED_VALUE"""),170)</f>
        <v>170</v>
      </c>
      <c r="D350" s="75">
        <f ca="1">IFERROR(__xludf.DUMMYFUNCTION("""COMPUTED_VALUE"""),0)</f>
        <v>0</v>
      </c>
      <c r="E350" s="76">
        <f ca="1">IFERROR(__xludf.DUMMYFUNCTION("""COMPUTED_VALUE"""),170)</f>
        <v>170</v>
      </c>
      <c r="F350" s="77">
        <f ca="1">IFERROR(__xludf.DUMMYFUNCTION("""COMPUTED_VALUE"""),10010267)</f>
        <v>10010267</v>
      </c>
      <c r="G350" s="77" t="str">
        <f t="shared" ca="1" si="1"/>
        <v>si</v>
      </c>
    </row>
    <row r="351" spans="1:7" ht="12.75" x14ac:dyDescent="0.2">
      <c r="A351" s="62">
        <f ca="1">IFERROR(__xludf.DUMMYFUNCTION("""COMPUTED_VALUE"""),10010414)</f>
        <v>10010414</v>
      </c>
      <c r="B351" s="62" t="str">
        <f ca="1">IFERROR(__xludf.DUMMYFUNCTION("""COMPUTED_VALUE"""),"Pantalla Xiaomi  Poco M3 - note 9 4g - redmi  9T - mi 9 power")</f>
        <v>Pantalla Xiaomi  Poco M3 - note 9 4g - redmi  9T - mi 9 power</v>
      </c>
      <c r="C351" s="75">
        <f ca="1">IFERROR(__xludf.DUMMYFUNCTION("""COMPUTED_VALUE"""),170)</f>
        <v>170</v>
      </c>
      <c r="D351" s="75">
        <f ca="1">IFERROR(__xludf.DUMMYFUNCTION("""COMPUTED_VALUE"""),0)</f>
        <v>0</v>
      </c>
      <c r="E351" s="76">
        <f ca="1">IFERROR(__xludf.DUMMYFUNCTION("""COMPUTED_VALUE"""),170)</f>
        <v>170</v>
      </c>
      <c r="F351" s="77">
        <f ca="1">IFERROR(__xludf.DUMMYFUNCTION("""COMPUTED_VALUE"""),10010414)</f>
        <v>10010414</v>
      </c>
      <c r="G351" s="77" t="str">
        <f t="shared" ca="1" si="1"/>
        <v>si</v>
      </c>
    </row>
    <row r="352" spans="1:7" ht="12.75" x14ac:dyDescent="0.2">
      <c r="A352" s="62">
        <f ca="1">IFERROR(__xludf.DUMMYFUNCTION("""COMPUTED_VALUE"""),10010415)</f>
        <v>10010415</v>
      </c>
      <c r="B352" s="62" t="str">
        <f ca="1">IFERROR(__xludf.DUMMYFUNCTION("""COMPUTED_VALUE"""),"Pantalla Xiaomi  Poco M3 Pro - redmi note 10 5g - note 10t lite 5g")</f>
        <v>Pantalla Xiaomi  Poco M3 Pro - redmi note 10 5g - note 10t lite 5g</v>
      </c>
      <c r="C352" s="75">
        <f ca="1">IFERROR(__xludf.DUMMYFUNCTION("""COMPUTED_VALUE"""),180)</f>
        <v>180</v>
      </c>
      <c r="D352" s="75">
        <f ca="1">IFERROR(__xludf.DUMMYFUNCTION("""COMPUTED_VALUE"""),0)</f>
        <v>0</v>
      </c>
      <c r="E352" s="76">
        <f ca="1">IFERROR(__xludf.DUMMYFUNCTION("""COMPUTED_VALUE"""),180)</f>
        <v>180</v>
      </c>
      <c r="F352" s="77">
        <f ca="1">IFERROR(__xludf.DUMMYFUNCTION("""COMPUTED_VALUE"""),10010415)</f>
        <v>10010415</v>
      </c>
      <c r="G352" s="77" t="str">
        <f t="shared" ca="1" si="1"/>
        <v>si</v>
      </c>
    </row>
    <row r="353" spans="1:7" ht="12.75" x14ac:dyDescent="0.2">
      <c r="A353" s="62">
        <f ca="1">IFERROR(__xludf.DUMMYFUNCTION("""COMPUTED_VALUE"""),10010298)</f>
        <v>10010298</v>
      </c>
      <c r="B353" s="62" t="str">
        <f ca="1">IFERROR(__xludf.DUMMYFUNCTION("""COMPUTED_VALUE"""),"Pantalla Xiaomi  One Prime Oled")</f>
        <v>Pantalla Xiaomi  One Prime Oled</v>
      </c>
      <c r="C353" s="75">
        <f ca="1">IFERROR(__xludf.DUMMYFUNCTION("""COMPUTED_VALUE"""),130)</f>
        <v>130</v>
      </c>
      <c r="D353" s="75">
        <f ca="1">IFERROR(__xludf.DUMMYFUNCTION("""COMPUTED_VALUE"""),0)</f>
        <v>0</v>
      </c>
      <c r="E353" s="76">
        <f ca="1">IFERROR(__xludf.DUMMYFUNCTION("""COMPUTED_VALUE"""),130)</f>
        <v>130</v>
      </c>
      <c r="F353" s="77">
        <f ca="1">IFERROR(__xludf.DUMMYFUNCTION("""COMPUTED_VALUE"""),10010298)</f>
        <v>10010298</v>
      </c>
      <c r="G353" s="77" t="str">
        <f t="shared" ca="1" si="1"/>
        <v>si</v>
      </c>
    </row>
    <row r="354" spans="1:7" ht="12.75" x14ac:dyDescent="0.2">
      <c r="A354" s="62">
        <f ca="1">IFERROR(__xludf.DUMMYFUNCTION("""COMPUTED_VALUE"""),10010284)</f>
        <v>10010284</v>
      </c>
      <c r="B354" s="62" t="str">
        <f ca="1">IFERROR(__xludf.DUMMYFUNCTION("""COMPUTED_VALUE"""),"Pantalla Xiaomi  Note 2 Oled")</f>
        <v>Pantalla Xiaomi  Note 2 Oled</v>
      </c>
      <c r="C354" s="75">
        <f ca="1">IFERROR(__xludf.DUMMYFUNCTION("""COMPUTED_VALUE"""),95)</f>
        <v>95</v>
      </c>
      <c r="D354" s="75">
        <f ca="1">IFERROR(__xludf.DUMMYFUNCTION("""COMPUTED_VALUE"""),0)</f>
        <v>0</v>
      </c>
      <c r="E354" s="76">
        <f ca="1">IFERROR(__xludf.DUMMYFUNCTION("""COMPUTED_VALUE"""),95)</f>
        <v>95</v>
      </c>
      <c r="F354" s="77">
        <f ca="1">IFERROR(__xludf.DUMMYFUNCTION("""COMPUTED_VALUE"""),10010284)</f>
        <v>10010284</v>
      </c>
      <c r="G354" s="77" t="str">
        <f t="shared" ca="1" si="1"/>
        <v>si</v>
      </c>
    </row>
    <row r="355" spans="1:7" ht="12.75" x14ac:dyDescent="0.2">
      <c r="A355" s="62">
        <f ca="1">IFERROR(__xludf.DUMMYFUNCTION("""COMPUTED_VALUE"""),10010285)</f>
        <v>10010285</v>
      </c>
      <c r="B355" s="62" t="str">
        <f ca="1">IFERROR(__xludf.DUMMYFUNCTION("""COMPUTED_VALUE"""),"Pantalla Xiaomi  Note 3 Oled")</f>
        <v>Pantalla Xiaomi  Note 3 Oled</v>
      </c>
      <c r="C355" s="75">
        <f ca="1">IFERROR(__xludf.DUMMYFUNCTION("""COMPUTED_VALUE"""),95)</f>
        <v>95</v>
      </c>
      <c r="D355" s="75">
        <f ca="1">IFERROR(__xludf.DUMMYFUNCTION("""COMPUTED_VALUE"""),0)</f>
        <v>0</v>
      </c>
      <c r="E355" s="76">
        <f ca="1">IFERROR(__xludf.DUMMYFUNCTION("""COMPUTED_VALUE"""),95)</f>
        <v>95</v>
      </c>
      <c r="F355" s="77">
        <f ca="1">IFERROR(__xludf.DUMMYFUNCTION("""COMPUTED_VALUE"""),10010285)</f>
        <v>10010285</v>
      </c>
      <c r="G355" s="77" t="str">
        <f t="shared" ca="1" si="1"/>
        <v>si</v>
      </c>
    </row>
    <row r="356" spans="1:7" ht="12.75" x14ac:dyDescent="0.2">
      <c r="A356" s="62">
        <f ca="1">IFERROR(__xludf.DUMMYFUNCTION("""COMPUTED_VALUE"""),10010286)</f>
        <v>10010286</v>
      </c>
      <c r="B356" s="62" t="str">
        <f ca="1">IFERROR(__xludf.DUMMYFUNCTION("""COMPUTED_VALUE"""),"Pantalla Xiaomi  Note 4 Oled")</f>
        <v>Pantalla Xiaomi  Note 4 Oled</v>
      </c>
      <c r="C356" s="75">
        <f ca="1">IFERROR(__xludf.DUMMYFUNCTION("""COMPUTED_VALUE"""),90)</f>
        <v>90</v>
      </c>
      <c r="D356" s="75">
        <f ca="1">IFERROR(__xludf.DUMMYFUNCTION("""COMPUTED_VALUE"""),0)</f>
        <v>0</v>
      </c>
      <c r="E356" s="76">
        <f ca="1">IFERROR(__xludf.DUMMYFUNCTION("""COMPUTED_VALUE"""),90)</f>
        <v>90</v>
      </c>
      <c r="F356" s="77">
        <f ca="1">IFERROR(__xludf.DUMMYFUNCTION("""COMPUTED_VALUE"""),10010286)</f>
        <v>10010286</v>
      </c>
      <c r="G356" s="77" t="str">
        <f t="shared" ca="1" si="1"/>
        <v>si</v>
      </c>
    </row>
    <row r="357" spans="1:7" ht="12.75" x14ac:dyDescent="0.2">
      <c r="A357" s="62">
        <f ca="1">IFERROR(__xludf.DUMMYFUNCTION("""COMPUTED_VALUE"""),10010287)</f>
        <v>10010287</v>
      </c>
      <c r="B357" s="62" t="str">
        <f ca="1">IFERROR(__xludf.DUMMYFUNCTION("""COMPUTED_VALUE"""),"Pantalla Xiaomi  Note 4X Oled")</f>
        <v>Pantalla Xiaomi  Note 4X Oled</v>
      </c>
      <c r="C357" s="75">
        <f ca="1">IFERROR(__xludf.DUMMYFUNCTION("""COMPUTED_VALUE"""),90)</f>
        <v>90</v>
      </c>
      <c r="D357" s="75">
        <f ca="1">IFERROR(__xludf.DUMMYFUNCTION("""COMPUTED_VALUE"""),0)</f>
        <v>0</v>
      </c>
      <c r="E357" s="76">
        <f ca="1">IFERROR(__xludf.DUMMYFUNCTION("""COMPUTED_VALUE"""),90)</f>
        <v>90</v>
      </c>
      <c r="F357" s="77">
        <f ca="1">IFERROR(__xludf.DUMMYFUNCTION("""COMPUTED_VALUE"""),10010287)</f>
        <v>10010287</v>
      </c>
      <c r="G357" s="77" t="str">
        <f t="shared" ca="1" si="1"/>
        <v>si</v>
      </c>
    </row>
    <row r="358" spans="1:7" ht="12.75" x14ac:dyDescent="0.2">
      <c r="A358" s="62">
        <f ca="1">IFERROR(__xludf.DUMMYFUNCTION("""COMPUTED_VALUE"""),10010288)</f>
        <v>10010288</v>
      </c>
      <c r="B358" s="62" t="str">
        <f ca="1">IFERROR(__xludf.DUMMYFUNCTION("""COMPUTED_VALUE"""),"Pantalla Xiaomi  Redmi Note 5 Pro")</f>
        <v>Pantalla Xiaomi  Redmi Note 5 Pro</v>
      </c>
      <c r="C358" s="75">
        <f ca="1">IFERROR(__xludf.DUMMYFUNCTION("""COMPUTED_VALUE"""),100)</f>
        <v>100</v>
      </c>
      <c r="D358" s="75">
        <f ca="1">IFERROR(__xludf.DUMMYFUNCTION("""COMPUTED_VALUE"""),50)</f>
        <v>50</v>
      </c>
      <c r="E358" s="76">
        <f ca="1">IFERROR(__xludf.DUMMYFUNCTION("""COMPUTED_VALUE"""),150)</f>
        <v>150</v>
      </c>
      <c r="F358" s="77">
        <f ca="1">IFERROR(__xludf.DUMMYFUNCTION("""COMPUTED_VALUE"""),10010288)</f>
        <v>10010288</v>
      </c>
      <c r="G358" s="77" t="str">
        <f t="shared" ca="1" si="1"/>
        <v>si</v>
      </c>
    </row>
    <row r="359" spans="1:7" ht="12.75" x14ac:dyDescent="0.2">
      <c r="A359" s="62">
        <f ca="1">IFERROR(__xludf.DUMMYFUNCTION("""COMPUTED_VALUE"""),10010289)</f>
        <v>10010289</v>
      </c>
      <c r="B359" s="62" t="str">
        <f ca="1">IFERROR(__xludf.DUMMYFUNCTION("""COMPUTED_VALUE"""),"Pantalla Xiaomi Redmi 5 Plus - Note 5")</f>
        <v>Pantalla Xiaomi Redmi 5 Plus - Note 5</v>
      </c>
      <c r="C359" s="75">
        <f ca="1">IFERROR(__xludf.DUMMYFUNCTION("""COMPUTED_VALUE"""),100)</f>
        <v>100</v>
      </c>
      <c r="D359" s="75">
        <f ca="1">IFERROR(__xludf.DUMMYFUNCTION("""COMPUTED_VALUE"""),50)</f>
        <v>50</v>
      </c>
      <c r="E359" s="76">
        <f ca="1">IFERROR(__xludf.DUMMYFUNCTION("""COMPUTED_VALUE"""),150)</f>
        <v>150</v>
      </c>
      <c r="F359" s="77">
        <f ca="1">IFERROR(__xludf.DUMMYFUNCTION("""COMPUTED_VALUE"""),10010289)</f>
        <v>10010289</v>
      </c>
      <c r="G359" s="77" t="str">
        <f t="shared" ca="1" si="1"/>
        <v>si</v>
      </c>
    </row>
    <row r="360" spans="1:7" ht="12.75" x14ac:dyDescent="0.2">
      <c r="A360" s="62">
        <f ca="1">IFERROR(__xludf.DUMMYFUNCTION("""COMPUTED_VALUE"""),10010291)</f>
        <v>10010291</v>
      </c>
      <c r="B360" s="62" t="str">
        <f ca="1">IFERROR(__xludf.DUMMYFUNCTION("""COMPUTED_VALUE"""),"Pantalla Xiaomi  Redmi 6A - Redmi 6 Oled")</f>
        <v>Pantalla Xiaomi  Redmi 6A - Redmi 6 Oled</v>
      </c>
      <c r="C360" s="75">
        <f ca="1">IFERROR(__xludf.DUMMYFUNCTION("""COMPUTED_VALUE"""),90)</f>
        <v>90</v>
      </c>
      <c r="D360" s="75">
        <f ca="1">IFERROR(__xludf.DUMMYFUNCTION("""COMPUTED_VALUE"""),50)</f>
        <v>50</v>
      </c>
      <c r="E360" s="76">
        <f ca="1">IFERROR(__xludf.DUMMYFUNCTION("""COMPUTED_VALUE"""),140)</f>
        <v>140</v>
      </c>
      <c r="F360" s="77">
        <f ca="1">IFERROR(__xludf.DUMMYFUNCTION("""COMPUTED_VALUE"""),10010291)</f>
        <v>10010291</v>
      </c>
      <c r="G360" s="77" t="str">
        <f t="shared" ca="1" si="1"/>
        <v>si</v>
      </c>
    </row>
    <row r="361" spans="1:7" ht="12.75" x14ac:dyDescent="0.2">
      <c r="A361" s="62">
        <f ca="1">IFERROR(__xludf.DUMMYFUNCTION("""COMPUTED_VALUE"""),10010290)</f>
        <v>10010290</v>
      </c>
      <c r="B361" s="62" t="str">
        <f ca="1">IFERROR(__xludf.DUMMYFUNCTION("""COMPUTED_VALUE"""),"Pantalla Xiaomi  Redmi Note 6 - 6 Pro Oled")</f>
        <v>Pantalla Xiaomi  Redmi Note 6 - 6 Pro Oled</v>
      </c>
      <c r="C361" s="75">
        <f ca="1">IFERROR(__xludf.DUMMYFUNCTION("""COMPUTED_VALUE"""),110)</f>
        <v>110</v>
      </c>
      <c r="D361" s="75">
        <f ca="1">IFERROR(__xludf.DUMMYFUNCTION("""COMPUTED_VALUE"""),50)</f>
        <v>50</v>
      </c>
      <c r="E361" s="76">
        <f ca="1">IFERROR(__xludf.DUMMYFUNCTION("""COMPUTED_VALUE"""),160)</f>
        <v>160</v>
      </c>
      <c r="F361" s="77">
        <f ca="1">IFERROR(__xludf.DUMMYFUNCTION("""COMPUTED_VALUE"""),10010290)</f>
        <v>10010290</v>
      </c>
      <c r="G361" s="77" t="str">
        <f t="shared" ca="1" si="1"/>
        <v>si</v>
      </c>
    </row>
    <row r="362" spans="1:7" ht="12.75" x14ac:dyDescent="0.2">
      <c r="A362" s="62">
        <f ca="1">IFERROR(__xludf.DUMMYFUNCTION("""COMPUTED_VALUE"""),10010292)</f>
        <v>10010292</v>
      </c>
      <c r="B362" s="62" t="str">
        <f ca="1">IFERROR(__xludf.DUMMYFUNCTION("""COMPUTED_VALUE"""),"Pantalla Xiaomi  Redmi  Note 7 - 7pro Oled")</f>
        <v>Pantalla Xiaomi  Redmi  Note 7 - 7pro Oled</v>
      </c>
      <c r="C362" s="75">
        <f ca="1">IFERROR(__xludf.DUMMYFUNCTION("""COMPUTED_VALUE"""),120)</f>
        <v>120</v>
      </c>
      <c r="D362" s="75">
        <f ca="1">IFERROR(__xludf.DUMMYFUNCTION("""COMPUTED_VALUE"""),50)</f>
        <v>50</v>
      </c>
      <c r="E362" s="76">
        <f ca="1">IFERROR(__xludf.DUMMYFUNCTION("""COMPUTED_VALUE"""),170)</f>
        <v>170</v>
      </c>
      <c r="F362" s="77">
        <f ca="1">IFERROR(__xludf.DUMMYFUNCTION("""COMPUTED_VALUE"""),10010292)</f>
        <v>10010292</v>
      </c>
      <c r="G362" s="77" t="str">
        <f t="shared" ca="1" si="1"/>
        <v>si</v>
      </c>
    </row>
    <row r="363" spans="1:7" ht="12.75" x14ac:dyDescent="0.2">
      <c r="A363" s="62">
        <f ca="1">IFERROR(__xludf.DUMMYFUNCTION("""COMPUTED_VALUE"""),10010293)</f>
        <v>10010293</v>
      </c>
      <c r="B363" s="62" t="str">
        <f ca="1">IFERROR(__xludf.DUMMYFUNCTION("""COMPUTED_VALUE"""),"Pantalla Xiaomi Redmi Note 8 Oled")</f>
        <v>Pantalla Xiaomi Redmi Note 8 Oled</v>
      </c>
      <c r="C363" s="75">
        <f ca="1">IFERROR(__xludf.DUMMYFUNCTION("""COMPUTED_VALUE"""),120)</f>
        <v>120</v>
      </c>
      <c r="D363" s="75">
        <f ca="1">IFERROR(__xludf.DUMMYFUNCTION("""COMPUTED_VALUE"""),50)</f>
        <v>50</v>
      </c>
      <c r="E363" s="76">
        <f ca="1">IFERROR(__xludf.DUMMYFUNCTION("""COMPUTED_VALUE"""),170)</f>
        <v>170</v>
      </c>
      <c r="F363" s="77">
        <f ca="1">IFERROR(__xludf.DUMMYFUNCTION("""COMPUTED_VALUE"""),10010293)</f>
        <v>10010293</v>
      </c>
      <c r="G363" s="77" t="str">
        <f t="shared" ca="1" si="1"/>
        <v>si</v>
      </c>
    </row>
    <row r="364" spans="1:7" ht="12.75" x14ac:dyDescent="0.2">
      <c r="A364" s="62">
        <f ca="1">IFERROR(__xludf.DUMMYFUNCTION("""COMPUTED_VALUE"""),10010294)</f>
        <v>10010294</v>
      </c>
      <c r="B364" s="62" t="str">
        <f ca="1">IFERROR(__xludf.DUMMYFUNCTION("""COMPUTED_VALUE"""),"Pantalla Xiaomi Redmi Note 8 PRO / 8PRO Oled")</f>
        <v>Pantalla Xiaomi Redmi Note 8 PRO / 8PRO Oled</v>
      </c>
      <c r="C364" s="75">
        <f ca="1">IFERROR(__xludf.DUMMYFUNCTION("""COMPUTED_VALUE"""),140)</f>
        <v>140</v>
      </c>
      <c r="D364" s="75">
        <f ca="1">IFERROR(__xludf.DUMMYFUNCTION("""COMPUTED_VALUE"""),50)</f>
        <v>50</v>
      </c>
      <c r="E364" s="76">
        <f ca="1">IFERROR(__xludf.DUMMYFUNCTION("""COMPUTED_VALUE"""),190)</f>
        <v>190</v>
      </c>
      <c r="F364" s="77">
        <f ca="1">IFERROR(__xludf.DUMMYFUNCTION("""COMPUTED_VALUE"""),10010294)</f>
        <v>10010294</v>
      </c>
      <c r="G364" s="77" t="str">
        <f t="shared" ca="1" si="1"/>
        <v>si</v>
      </c>
    </row>
    <row r="365" spans="1:7" ht="12.75" x14ac:dyDescent="0.2">
      <c r="A365" s="62">
        <f ca="1">IFERROR(__xludf.DUMMYFUNCTION("""COMPUTED_VALUE"""),10010296)</f>
        <v>10010296</v>
      </c>
      <c r="B365" s="62" t="str">
        <f ca="1">IFERROR(__xludf.DUMMYFUNCTION("""COMPUTED_VALUE"""),"Pantalla Xiaomi Redmi Note 9 - 10x 4g  Oled")</f>
        <v>Pantalla Xiaomi Redmi Note 9 - 10x 4g  Oled</v>
      </c>
      <c r="C365" s="75">
        <f ca="1">IFERROR(__xludf.DUMMYFUNCTION("""COMPUTED_VALUE"""),140)</f>
        <v>140</v>
      </c>
      <c r="D365" s="75">
        <f ca="1">IFERROR(__xludf.DUMMYFUNCTION("""COMPUTED_VALUE"""),50)</f>
        <v>50</v>
      </c>
      <c r="E365" s="76">
        <f ca="1">IFERROR(__xludf.DUMMYFUNCTION("""COMPUTED_VALUE"""),190)</f>
        <v>190</v>
      </c>
      <c r="F365" s="77">
        <f ca="1">IFERROR(__xludf.DUMMYFUNCTION("""COMPUTED_VALUE"""),10010296)</f>
        <v>10010296</v>
      </c>
      <c r="G365" s="77" t="str">
        <f t="shared" ca="1" si="1"/>
        <v>si</v>
      </c>
    </row>
    <row r="366" spans="1:7" ht="12.75" x14ac:dyDescent="0.2">
      <c r="A366" s="62">
        <f ca="1">IFERROR(__xludf.DUMMYFUNCTION("""COMPUTED_VALUE"""),10010295)</f>
        <v>10010295</v>
      </c>
      <c r="B366" s="62" t="str">
        <f ca="1">IFERROR(__xludf.DUMMYFUNCTION("""COMPUTED_VALUE"""),"Pantalla Xiaomi Redmi  Note 9  PRO / Note 9s Oled")</f>
        <v>Pantalla Xiaomi Redmi  Note 9  PRO / Note 9s Oled</v>
      </c>
      <c r="C366" s="75">
        <f ca="1">IFERROR(__xludf.DUMMYFUNCTION("""COMPUTED_VALUE"""),140)</f>
        <v>140</v>
      </c>
      <c r="D366" s="75">
        <f ca="1">IFERROR(__xludf.DUMMYFUNCTION("""COMPUTED_VALUE"""),50)</f>
        <v>50</v>
      </c>
      <c r="E366" s="76">
        <f ca="1">IFERROR(__xludf.DUMMYFUNCTION("""COMPUTED_VALUE"""),190)</f>
        <v>190</v>
      </c>
      <c r="F366" s="77">
        <f ca="1">IFERROR(__xludf.DUMMYFUNCTION("""COMPUTED_VALUE"""),10010295)</f>
        <v>10010295</v>
      </c>
      <c r="G366" s="77" t="str">
        <f t="shared" ca="1" si="1"/>
        <v>si</v>
      </c>
    </row>
    <row r="367" spans="1:7" ht="12.75" x14ac:dyDescent="0.2">
      <c r="A367" s="62">
        <f ca="1">IFERROR(__xludf.DUMMYFUNCTION("""COMPUTED_VALUE"""),10010297)</f>
        <v>10010297</v>
      </c>
      <c r="B367" s="62" t="str">
        <f ca="1">IFERROR(__xludf.DUMMYFUNCTION("""COMPUTED_VALUE"""),"Pantalla Xiaomi  Mi 11 Ultra / Mi 11 Pro Frame")</f>
        <v>Pantalla Xiaomi  Mi 11 Ultra / Mi 11 Pro Frame</v>
      </c>
      <c r="C367" s="75">
        <f ca="1">IFERROR(__xludf.DUMMYFUNCTION("""COMPUTED_VALUE"""),1190)</f>
        <v>1190</v>
      </c>
      <c r="D367" s="75">
        <f ca="1">IFERROR(__xludf.DUMMYFUNCTION("""COMPUTED_VALUE"""),0)</f>
        <v>0</v>
      </c>
      <c r="E367" s="76">
        <f ca="1">IFERROR(__xludf.DUMMYFUNCTION("""COMPUTED_VALUE"""),1190)</f>
        <v>1190</v>
      </c>
      <c r="F367" s="77">
        <f ca="1">IFERROR(__xludf.DUMMYFUNCTION("""COMPUTED_VALUE"""),10010297)</f>
        <v>10010297</v>
      </c>
      <c r="G367" s="77" t="str">
        <f t="shared" ca="1" si="1"/>
        <v>si</v>
      </c>
    </row>
    <row r="368" spans="1:7" ht="12.75" x14ac:dyDescent="0.2">
      <c r="A368" s="62">
        <f ca="1">IFERROR(__xludf.DUMMYFUNCTION("""COMPUTED_VALUE"""),10010387)</f>
        <v>10010387</v>
      </c>
      <c r="B368" s="62" t="str">
        <f ca="1">IFERROR(__xludf.DUMMYFUNCTION("""COMPUTED_VALUE"""),"Pantalla Xiaomi Redmi Note 9T - note 9 5g Oled")</f>
        <v>Pantalla Xiaomi Redmi Note 9T - note 9 5g Oled</v>
      </c>
      <c r="C368" s="75">
        <f ca="1">IFERROR(__xludf.DUMMYFUNCTION("""COMPUTED_VALUE"""),160)</f>
        <v>160</v>
      </c>
      <c r="D368" s="75">
        <f ca="1">IFERROR(__xludf.DUMMYFUNCTION("""COMPUTED_VALUE"""),30)</f>
        <v>30</v>
      </c>
      <c r="E368" s="76">
        <f ca="1">IFERROR(__xludf.DUMMYFUNCTION("""COMPUTED_VALUE"""),190)</f>
        <v>190</v>
      </c>
      <c r="F368" s="77">
        <f ca="1">IFERROR(__xludf.DUMMYFUNCTION("""COMPUTED_VALUE"""),10010387)</f>
        <v>10010387</v>
      </c>
      <c r="G368" s="77" t="str">
        <f t="shared" ca="1" si="1"/>
        <v>si</v>
      </c>
    </row>
    <row r="369" spans="1:7" ht="12.75" x14ac:dyDescent="0.2">
      <c r="A369" s="62">
        <f ca="1">IFERROR(__xludf.DUMMYFUNCTION("""COMPUTED_VALUE"""),10010388)</f>
        <v>10010388</v>
      </c>
      <c r="B369" s="62" t="str">
        <f ca="1">IFERROR(__xludf.DUMMYFUNCTION("""COMPUTED_VALUE"""),"Pantalla Redmi Note 10s / Note 10 Oled")</f>
        <v>Pantalla Redmi Note 10s / Note 10 Oled</v>
      </c>
      <c r="C369" s="75">
        <f ca="1">IFERROR(__xludf.DUMMYFUNCTION("""COMPUTED_VALUE"""),240)</f>
        <v>240</v>
      </c>
      <c r="D369" s="75">
        <f ca="1">IFERROR(__xludf.DUMMYFUNCTION("""COMPUTED_VALUE"""),50)</f>
        <v>50</v>
      </c>
      <c r="E369" s="76">
        <f ca="1">IFERROR(__xludf.DUMMYFUNCTION("""COMPUTED_VALUE"""),290)</f>
        <v>290</v>
      </c>
      <c r="F369" s="77">
        <f ca="1">IFERROR(__xludf.DUMMYFUNCTION("""COMPUTED_VALUE"""),10010388)</f>
        <v>10010388</v>
      </c>
      <c r="G369" s="77" t="str">
        <f t="shared" ca="1" si="1"/>
        <v>si</v>
      </c>
    </row>
    <row r="370" spans="1:7" ht="12.75" x14ac:dyDescent="0.2">
      <c r="A370" s="62">
        <f ca="1">IFERROR(__xludf.DUMMYFUNCTION("""COMPUTED_VALUE"""),10010283)</f>
        <v>10010283</v>
      </c>
      <c r="B370" s="62" t="str">
        <f ca="1">IFERROR(__xludf.DUMMYFUNCTION("""COMPUTED_VALUE"""),"Pantalla MI Note 10 Pro /Note 10 / Note 10 lite  Oled")</f>
        <v>Pantalla MI Note 10 Pro /Note 10 / Note 10 lite  Oled</v>
      </c>
      <c r="C370" s="75">
        <f ca="1">IFERROR(__xludf.DUMMYFUNCTION("""COMPUTED_VALUE"""),240)</f>
        <v>240</v>
      </c>
      <c r="D370" s="75">
        <f ca="1">IFERROR(__xludf.DUMMYFUNCTION("""COMPUTED_VALUE"""),30)</f>
        <v>30</v>
      </c>
      <c r="E370" s="76">
        <f ca="1">IFERROR(__xludf.DUMMYFUNCTION("""COMPUTED_VALUE"""),270)</f>
        <v>270</v>
      </c>
      <c r="F370" s="77">
        <f ca="1">IFERROR(__xludf.DUMMYFUNCTION("""COMPUTED_VALUE"""),10010283)</f>
        <v>10010283</v>
      </c>
      <c r="G370" s="77" t="str">
        <f t="shared" ca="1" si="1"/>
        <v>si</v>
      </c>
    </row>
    <row r="371" spans="1:7" ht="12.75" x14ac:dyDescent="0.2">
      <c r="A371" s="62">
        <f ca="1">IFERROR(__xludf.DUMMYFUNCTION("""COMPUTED_VALUE"""),10010301)</f>
        <v>10010301</v>
      </c>
      <c r="B371" s="62" t="str">
        <f ca="1">IFERROR(__xludf.DUMMYFUNCTION("""COMPUTED_VALUE"""),"Pantalla Xiaomi  Redmi 7 Oled")</f>
        <v>Pantalla Xiaomi  Redmi 7 Oled</v>
      </c>
      <c r="C371" s="75">
        <f ca="1">IFERROR(__xludf.DUMMYFUNCTION("""COMPUTED_VALUE"""),120)</f>
        <v>120</v>
      </c>
      <c r="D371" s="75">
        <f ca="1">IFERROR(__xludf.DUMMYFUNCTION("""COMPUTED_VALUE"""),0)</f>
        <v>0</v>
      </c>
      <c r="E371" s="76">
        <f ca="1">IFERROR(__xludf.DUMMYFUNCTION("""COMPUTED_VALUE"""),120)</f>
        <v>120</v>
      </c>
      <c r="F371" s="77">
        <f ca="1">IFERROR(__xludf.DUMMYFUNCTION("""COMPUTED_VALUE"""),10010301)</f>
        <v>10010301</v>
      </c>
      <c r="G371" s="77" t="str">
        <f t="shared" ca="1" si="1"/>
        <v>si</v>
      </c>
    </row>
    <row r="372" spans="1:7" ht="12.75" x14ac:dyDescent="0.2">
      <c r="A372" s="62">
        <f ca="1">IFERROR(__xludf.DUMMYFUNCTION("""COMPUTED_VALUE"""),10010302)</f>
        <v>10010302</v>
      </c>
      <c r="B372" s="62" t="str">
        <f ca="1">IFERROR(__xludf.DUMMYFUNCTION("""COMPUTED_VALUE"""),"Pantalla Xiaomi  Redmi 7A Oled")</f>
        <v>Pantalla Xiaomi  Redmi 7A Oled</v>
      </c>
      <c r="C372" s="75">
        <f ca="1">IFERROR(__xludf.DUMMYFUNCTION("""COMPUTED_VALUE"""),110)</f>
        <v>110</v>
      </c>
      <c r="D372" s="75">
        <f ca="1">IFERROR(__xludf.DUMMYFUNCTION("""COMPUTED_VALUE"""),0)</f>
        <v>0</v>
      </c>
      <c r="E372" s="76">
        <f ca="1">IFERROR(__xludf.DUMMYFUNCTION("""COMPUTED_VALUE"""),110)</f>
        <v>110</v>
      </c>
      <c r="F372" s="77">
        <f ca="1">IFERROR(__xludf.DUMMYFUNCTION("""COMPUTED_VALUE"""),10010302)</f>
        <v>10010302</v>
      </c>
      <c r="G372" s="77" t="str">
        <f t="shared" ca="1" si="1"/>
        <v>si</v>
      </c>
    </row>
    <row r="373" spans="1:7" ht="12.75" x14ac:dyDescent="0.2">
      <c r="A373" s="62">
        <f ca="1">IFERROR(__xludf.DUMMYFUNCTION("""COMPUTED_VALUE"""),10010303)</f>
        <v>10010303</v>
      </c>
      <c r="B373" s="62" t="str">
        <f ca="1">IFERROR(__xludf.DUMMYFUNCTION("""COMPUTED_VALUE"""),"Pantalla Xiaomi  Redmi 8-8A Oled")</f>
        <v>Pantalla Xiaomi  Redmi 8-8A Oled</v>
      </c>
      <c r="C373" s="75">
        <f ca="1">IFERROR(__xludf.DUMMYFUNCTION("""COMPUTED_VALUE"""),110)</f>
        <v>110</v>
      </c>
      <c r="D373" s="75">
        <f ca="1">IFERROR(__xludf.DUMMYFUNCTION("""COMPUTED_VALUE"""),0)</f>
        <v>0</v>
      </c>
      <c r="E373" s="76">
        <f ca="1">IFERROR(__xludf.DUMMYFUNCTION("""COMPUTED_VALUE"""),110)</f>
        <v>110</v>
      </c>
      <c r="F373" s="77">
        <f ca="1">IFERROR(__xludf.DUMMYFUNCTION("""COMPUTED_VALUE"""),10010303)</f>
        <v>10010303</v>
      </c>
      <c r="G373" s="77" t="str">
        <f t="shared" ca="1" si="1"/>
        <v>si</v>
      </c>
    </row>
    <row r="374" spans="1:7" ht="12.75" x14ac:dyDescent="0.2">
      <c r="A374" s="62">
        <f ca="1">IFERROR(__xludf.DUMMYFUNCTION("""COMPUTED_VALUE"""),10160019)</f>
        <v>10160019</v>
      </c>
      <c r="B374" s="62" t="str">
        <f ca="1">IFERROR(__xludf.DUMMYFUNCTION("""COMPUTED_VALUE"""),"Pantalla Xiaomi  Redmi 9 - redmi 9 prime - poco m2")</f>
        <v>Pantalla Xiaomi  Redmi 9 - redmi 9 prime - poco m2</v>
      </c>
      <c r="C374" s="75">
        <f ca="1">IFERROR(__xludf.DUMMYFUNCTION("""COMPUTED_VALUE"""),130)</f>
        <v>130</v>
      </c>
      <c r="D374" s="75">
        <f ca="1">IFERROR(__xludf.DUMMYFUNCTION("""COMPUTED_VALUE"""),0)</f>
        <v>0</v>
      </c>
      <c r="E374" s="76">
        <f ca="1">IFERROR(__xludf.DUMMYFUNCTION("""COMPUTED_VALUE"""),130)</f>
        <v>130</v>
      </c>
      <c r="F374" s="77">
        <f ca="1">IFERROR(__xludf.DUMMYFUNCTION("""COMPUTED_VALUE"""),10160019)</f>
        <v>10160019</v>
      </c>
      <c r="G374" s="77" t="str">
        <f t="shared" ca="1" si="1"/>
        <v>si</v>
      </c>
    </row>
    <row r="375" spans="1:7" ht="12.75" x14ac:dyDescent="0.2">
      <c r="A375" s="62">
        <f ca="1">IFERROR(__xludf.DUMMYFUNCTION("""COMPUTED_VALUE"""),10010389)</f>
        <v>10010389</v>
      </c>
      <c r="B375" s="62" t="str">
        <f ca="1">IFERROR(__xludf.DUMMYFUNCTION("""COMPUTED_VALUE"""),"Pantalla Xiaomi  Redmi 9A - 9C Oled")</f>
        <v>Pantalla Xiaomi  Redmi 9A - 9C Oled</v>
      </c>
      <c r="C375" s="75">
        <f ca="1">IFERROR(__xludf.DUMMYFUNCTION("""COMPUTED_VALUE"""),130)</f>
        <v>130</v>
      </c>
      <c r="D375" s="75">
        <f ca="1">IFERROR(__xludf.DUMMYFUNCTION("""COMPUTED_VALUE"""),0)</f>
        <v>0</v>
      </c>
      <c r="E375" s="76">
        <f ca="1">IFERROR(__xludf.DUMMYFUNCTION("""COMPUTED_VALUE"""),130)</f>
        <v>130</v>
      </c>
      <c r="F375" s="77">
        <f ca="1">IFERROR(__xludf.DUMMYFUNCTION("""COMPUTED_VALUE"""),10010389)</f>
        <v>10010389</v>
      </c>
      <c r="G375" s="77" t="str">
        <f t="shared" ca="1" si="1"/>
        <v>si</v>
      </c>
    </row>
    <row r="376" spans="1:7" ht="12.75" x14ac:dyDescent="0.2">
      <c r="A376" s="62">
        <f ca="1">IFERROR(__xludf.DUMMYFUNCTION("""COMPUTED_VALUE"""),10010390)</f>
        <v>10010390</v>
      </c>
      <c r="B376" s="62" t="str">
        <f ca="1">IFERROR(__xludf.DUMMYFUNCTION("""COMPUTED_VALUE"""),"Pantalla Xiaomi  Redmi 9T Oled")</f>
        <v>Pantalla Xiaomi  Redmi 9T Oled</v>
      </c>
      <c r="C376" s="75">
        <f ca="1">IFERROR(__xludf.DUMMYFUNCTION("""COMPUTED_VALUE"""),140)</f>
        <v>140</v>
      </c>
      <c r="D376" s="75">
        <f ca="1">IFERROR(__xludf.DUMMYFUNCTION("""COMPUTED_VALUE"""),50)</f>
        <v>50</v>
      </c>
      <c r="E376" s="76">
        <f ca="1">IFERROR(__xludf.DUMMYFUNCTION("""COMPUTED_VALUE"""),190)</f>
        <v>190</v>
      </c>
      <c r="F376" s="77">
        <f ca="1">IFERROR(__xludf.DUMMYFUNCTION("""COMPUTED_VALUE"""),10010390)</f>
        <v>10010390</v>
      </c>
      <c r="G376" s="77" t="str">
        <f t="shared" ca="1" si="1"/>
        <v>si</v>
      </c>
    </row>
    <row r="377" spans="1:7" ht="12.75" x14ac:dyDescent="0.2">
      <c r="A377" s="62">
        <f ca="1">IFERROR(__xludf.DUMMYFUNCTION("""COMPUTED_VALUE"""),10010416)</f>
        <v>10010416</v>
      </c>
      <c r="B377" s="62" t="str">
        <f ca="1">IFERROR(__xludf.DUMMYFUNCTION("""COMPUTED_VALUE"""),"Pantalla Xiaomi Redmi 10")</f>
        <v>Pantalla Xiaomi Redmi 10</v>
      </c>
      <c r="C377" s="75">
        <f ca="1">IFERROR(__xludf.DUMMYFUNCTION("""COMPUTED_VALUE"""),160)</f>
        <v>160</v>
      </c>
      <c r="D377" s="75">
        <f ca="1">IFERROR(__xludf.DUMMYFUNCTION("""COMPUTED_VALUE"""),50)</f>
        <v>50</v>
      </c>
      <c r="E377" s="76">
        <f ca="1">IFERROR(__xludf.DUMMYFUNCTION("""COMPUTED_VALUE"""),210)</f>
        <v>210</v>
      </c>
      <c r="F377" s="77">
        <f ca="1">IFERROR(__xludf.DUMMYFUNCTION("""COMPUTED_VALUE"""),10010416)</f>
        <v>10010416</v>
      </c>
      <c r="G377" s="77" t="str">
        <f t="shared" ca="1" si="1"/>
        <v>si</v>
      </c>
    </row>
    <row r="378" spans="1:7" ht="12.75" x14ac:dyDescent="0.2">
      <c r="A378" s="62">
        <f ca="1">IFERROR(__xludf.DUMMYFUNCTION("""COMPUTED_VALUE"""),10010407)</f>
        <v>10010407</v>
      </c>
      <c r="B378" s="62" t="str">
        <f ca="1">IFERROR(__xludf.DUMMYFUNCTION("""COMPUTED_VALUE"""),"Pantalla Xiaomi  Redmi note 10 pro -Redmi note 11 pro 4g-Redmi note 11 pro 5g-Poco X4 Pro 5G")</f>
        <v>Pantalla Xiaomi  Redmi note 10 pro -Redmi note 11 pro 4g-Redmi note 11 pro 5g-Poco X4 Pro 5G</v>
      </c>
      <c r="C378" s="75">
        <f ca="1">IFERROR(__xludf.DUMMYFUNCTION("""COMPUTED_VALUE"""),440)</f>
        <v>440</v>
      </c>
      <c r="D378" s="75">
        <f ca="1">IFERROR(__xludf.DUMMYFUNCTION("""COMPUTED_VALUE"""),50)</f>
        <v>50</v>
      </c>
      <c r="E378" s="76">
        <f ca="1">IFERROR(__xludf.DUMMYFUNCTION("""COMPUTED_VALUE"""),490)</f>
        <v>490</v>
      </c>
      <c r="F378" s="77">
        <f ca="1">IFERROR(__xludf.DUMMYFUNCTION("""COMPUTED_VALUE"""),10010407)</f>
        <v>10010407</v>
      </c>
      <c r="G378" s="77" t="str">
        <f t="shared" ca="1" si="1"/>
        <v>si</v>
      </c>
    </row>
    <row r="379" spans="1:7" ht="12.75" x14ac:dyDescent="0.2">
      <c r="A379" s="62">
        <f ca="1">IFERROR(__xludf.DUMMYFUNCTION("""COMPUTED_VALUE"""),10010271)</f>
        <v>10010271</v>
      </c>
      <c r="B379" s="62" t="str">
        <f ca="1">IFERROR(__xludf.DUMMYFUNCTION("""COMPUTED_VALUE"""),"Pantalla Xiaomi  Mi 8 Oled")</f>
        <v>Pantalla Xiaomi  Mi 8 Oled</v>
      </c>
      <c r="C379" s="75">
        <f ca="1">IFERROR(__xludf.DUMMYFUNCTION("""COMPUTED_VALUE"""),200)</f>
        <v>200</v>
      </c>
      <c r="D379" s="75">
        <f ca="1">IFERROR(__xludf.DUMMYFUNCTION("""COMPUTED_VALUE"""),50)</f>
        <v>50</v>
      </c>
      <c r="E379" s="76">
        <f ca="1">IFERROR(__xludf.DUMMYFUNCTION("""COMPUTED_VALUE"""),250)</f>
        <v>250</v>
      </c>
      <c r="F379" s="77">
        <f ca="1">IFERROR(__xludf.DUMMYFUNCTION("""COMPUTED_VALUE"""),10010271)</f>
        <v>10010271</v>
      </c>
      <c r="G379" s="77" t="str">
        <f t="shared" ca="1" si="1"/>
        <v>si</v>
      </c>
    </row>
    <row r="380" spans="1:7" ht="12.75" x14ac:dyDescent="0.2">
      <c r="A380" s="62">
        <f ca="1">IFERROR(__xludf.DUMMYFUNCTION("""COMPUTED_VALUE"""),10010270)</f>
        <v>10010270</v>
      </c>
      <c r="B380" s="62" t="str">
        <f ca="1">IFERROR(__xludf.DUMMYFUNCTION("""COMPUTED_VALUE"""),"Pantalla Xiaomi  Mi 8 Lite Oled")</f>
        <v>Pantalla Xiaomi  Mi 8 Lite Oled</v>
      </c>
      <c r="C380" s="75">
        <f ca="1">IFERROR(__xludf.DUMMYFUNCTION("""COMPUTED_VALUE"""),140)</f>
        <v>140</v>
      </c>
      <c r="D380" s="75">
        <f ca="1">IFERROR(__xludf.DUMMYFUNCTION("""COMPUTED_VALUE"""),50)</f>
        <v>50</v>
      </c>
      <c r="E380" s="76">
        <f ca="1">IFERROR(__xludf.DUMMYFUNCTION("""COMPUTED_VALUE"""),190)</f>
        <v>190</v>
      </c>
      <c r="F380" s="77">
        <f ca="1">IFERROR(__xludf.DUMMYFUNCTION("""COMPUTED_VALUE"""),10010270)</f>
        <v>10010270</v>
      </c>
      <c r="G380" s="77" t="str">
        <f t="shared" ca="1" si="1"/>
        <v>si</v>
      </c>
    </row>
    <row r="381" spans="1:7" ht="12.75" x14ac:dyDescent="0.2">
      <c r="A381" s="62">
        <f ca="1">IFERROR(__xludf.DUMMYFUNCTION("""COMPUTED_VALUE"""),10010275)</f>
        <v>10010275</v>
      </c>
      <c r="B381" s="62" t="str">
        <f ca="1">IFERROR(__xludf.DUMMYFUNCTION("""COMPUTED_VALUE"""),"Pantalla Xiaomi  Mi 9T / Mi 9T Pro / K20 PRO / K20 Oled")</f>
        <v>Pantalla Xiaomi  Mi 9T / Mi 9T Pro / K20 PRO / K20 Oled</v>
      </c>
      <c r="C381" s="75">
        <f ca="1">IFERROR(__xludf.DUMMYFUNCTION("""COMPUTED_VALUE"""),220)</f>
        <v>220</v>
      </c>
      <c r="D381" s="75">
        <f ca="1">IFERROR(__xludf.DUMMYFUNCTION("""COMPUTED_VALUE"""),0)</f>
        <v>0</v>
      </c>
      <c r="E381" s="76">
        <f ca="1">IFERROR(__xludf.DUMMYFUNCTION("""COMPUTED_VALUE"""),220)</f>
        <v>220</v>
      </c>
      <c r="F381" s="77">
        <f ca="1">IFERROR(__xludf.DUMMYFUNCTION("""COMPUTED_VALUE"""),10010275)</f>
        <v>10010275</v>
      </c>
      <c r="G381" s="77" t="str">
        <f t="shared" ca="1" si="1"/>
        <v>si</v>
      </c>
    </row>
    <row r="382" spans="1:7" ht="12.75" x14ac:dyDescent="0.2">
      <c r="A382" s="62">
        <f ca="1">IFERROR(__xludf.DUMMYFUNCTION("""COMPUTED_VALUE"""),10010273)</f>
        <v>10010273</v>
      </c>
      <c r="B382" s="62" t="str">
        <f ca="1">IFERROR(__xludf.DUMMYFUNCTION("""COMPUTED_VALUE"""),"Pantalla Xiaomi  Mi 9 Oled")</f>
        <v>Pantalla Xiaomi  Mi 9 Oled</v>
      </c>
      <c r="C382" s="75">
        <f ca="1">IFERROR(__xludf.DUMMYFUNCTION("""COMPUTED_VALUE"""),240)</f>
        <v>240</v>
      </c>
      <c r="D382" s="75">
        <f ca="1">IFERROR(__xludf.DUMMYFUNCTION("""COMPUTED_VALUE"""),0)</f>
        <v>0</v>
      </c>
      <c r="E382" s="76">
        <f ca="1">IFERROR(__xludf.DUMMYFUNCTION("""COMPUTED_VALUE"""),240)</f>
        <v>240</v>
      </c>
      <c r="F382" s="77">
        <f ca="1">IFERROR(__xludf.DUMMYFUNCTION("""COMPUTED_VALUE"""),10010273)</f>
        <v>10010273</v>
      </c>
      <c r="G382" s="77" t="str">
        <f t="shared" ca="1" si="1"/>
        <v>si</v>
      </c>
    </row>
    <row r="383" spans="1:7" ht="12.75" x14ac:dyDescent="0.2">
      <c r="A383" s="62">
        <f ca="1">IFERROR(__xludf.DUMMYFUNCTION("""COMPUTED_VALUE"""),10010272)</f>
        <v>10010272</v>
      </c>
      <c r="B383" s="62" t="str">
        <f ca="1">IFERROR(__xludf.DUMMYFUNCTION("""COMPUTED_VALUE"""),"Pantalla Xiaomi  Mi 9 Lite Oled")</f>
        <v>Pantalla Xiaomi  Mi 9 Lite Oled</v>
      </c>
      <c r="C383" s="75">
        <f ca="1">IFERROR(__xludf.DUMMYFUNCTION("""COMPUTED_VALUE"""),240)</f>
        <v>240</v>
      </c>
      <c r="D383" s="75">
        <f ca="1">IFERROR(__xludf.DUMMYFUNCTION("""COMPUTED_VALUE"""),0)</f>
        <v>0</v>
      </c>
      <c r="E383" s="76">
        <f ca="1">IFERROR(__xludf.DUMMYFUNCTION("""COMPUTED_VALUE"""),240)</f>
        <v>240</v>
      </c>
      <c r="F383" s="77">
        <f ca="1">IFERROR(__xludf.DUMMYFUNCTION("""COMPUTED_VALUE"""),10010272)</f>
        <v>10010272</v>
      </c>
      <c r="G383" s="77" t="str">
        <f t="shared" ca="1" si="1"/>
        <v>si</v>
      </c>
    </row>
    <row r="384" spans="1:7" ht="12.75" x14ac:dyDescent="0.2">
      <c r="A384" s="62">
        <f ca="1">IFERROR(__xludf.DUMMYFUNCTION("""COMPUTED_VALUE"""),10010274)</f>
        <v>10010274</v>
      </c>
      <c r="B384" s="62" t="str">
        <f ca="1">IFERROR(__xludf.DUMMYFUNCTION("""COMPUTED_VALUE"""),"Pantalla Xiaomi  Mi 9SE Oled")</f>
        <v>Pantalla Xiaomi  Mi 9SE Oled</v>
      </c>
      <c r="C384" s="75">
        <f ca="1">IFERROR(__xludf.DUMMYFUNCTION("""COMPUTED_VALUE"""),240)</f>
        <v>240</v>
      </c>
      <c r="D384" s="75">
        <f ca="1">IFERROR(__xludf.DUMMYFUNCTION("""COMPUTED_VALUE"""),50)</f>
        <v>50</v>
      </c>
      <c r="E384" s="76">
        <f ca="1">IFERROR(__xludf.DUMMYFUNCTION("""COMPUTED_VALUE"""),290)</f>
        <v>290</v>
      </c>
      <c r="F384" s="77">
        <f ca="1">IFERROR(__xludf.DUMMYFUNCTION("""COMPUTED_VALUE"""),10010274)</f>
        <v>10010274</v>
      </c>
      <c r="G384" s="77" t="str">
        <f t="shared" ca="1" si="1"/>
        <v>si</v>
      </c>
    </row>
    <row r="385" spans="1:7" ht="12.75" x14ac:dyDescent="0.2">
      <c r="A385" s="62">
        <f ca="1">IFERROR(__xludf.DUMMYFUNCTION("""COMPUTED_VALUE"""),20040002)</f>
        <v>20040002</v>
      </c>
      <c r="B385" s="62" t="str">
        <f ca="1">IFERROR(__xludf.DUMMYFUNCTION("""COMPUTED_VALUE"""),"Pantalla Xiaomi  Mi 10T / mi 10T Pro")</f>
        <v>Pantalla Xiaomi  Mi 10T / mi 10T Pro</v>
      </c>
      <c r="C385" s="75">
        <f ca="1">IFERROR(__xludf.DUMMYFUNCTION("""COMPUTED_VALUE"""),200)</f>
        <v>200</v>
      </c>
      <c r="D385" s="75">
        <f ca="1">IFERROR(__xludf.DUMMYFUNCTION("""COMPUTED_VALUE"""),50)</f>
        <v>50</v>
      </c>
      <c r="E385" s="76">
        <f ca="1">IFERROR(__xludf.DUMMYFUNCTION("""COMPUTED_VALUE"""),250)</f>
        <v>250</v>
      </c>
      <c r="F385" s="77">
        <f ca="1">IFERROR(__xludf.DUMMYFUNCTION("""COMPUTED_VALUE"""),20040002)</f>
        <v>20040002</v>
      </c>
      <c r="G385" s="77" t="str">
        <f t="shared" ca="1" si="1"/>
        <v>si</v>
      </c>
    </row>
    <row r="386" spans="1:7" ht="12.75" x14ac:dyDescent="0.2">
      <c r="A386" s="62">
        <f ca="1">IFERROR(__xludf.DUMMYFUNCTION("""COMPUTED_VALUE"""),10010405)</f>
        <v>10010405</v>
      </c>
      <c r="B386" s="62" t="str">
        <f ca="1">IFERROR(__xludf.DUMMYFUNCTION("""COMPUTED_VALUE"""),"Pantalla Xiaomi  Mi 11 + Frame")</f>
        <v>Pantalla Xiaomi  Mi 11 + Frame</v>
      </c>
      <c r="C386" s="75">
        <f ca="1">IFERROR(__xludf.DUMMYFUNCTION("""COMPUTED_VALUE"""),990)</f>
        <v>990</v>
      </c>
      <c r="D386" s="75">
        <f ca="1">IFERROR(__xludf.DUMMYFUNCTION("""COMPUTED_VALUE"""),150)</f>
        <v>150</v>
      </c>
      <c r="E386" s="76">
        <f ca="1">IFERROR(__xludf.DUMMYFUNCTION("""COMPUTED_VALUE"""),1140)</f>
        <v>1140</v>
      </c>
      <c r="F386" s="77">
        <f ca="1">IFERROR(__xludf.DUMMYFUNCTION("""COMPUTED_VALUE"""),10010405)</f>
        <v>10010405</v>
      </c>
      <c r="G386" s="77" t="str">
        <f t="shared" ca="1" si="1"/>
        <v>si</v>
      </c>
    </row>
    <row r="387" spans="1:7" ht="12.75" x14ac:dyDescent="0.2">
      <c r="A387" s="62">
        <f ca="1">IFERROR(__xludf.DUMMYFUNCTION("""COMPUTED_VALUE"""),10010406)</f>
        <v>10010406</v>
      </c>
      <c r="B387" s="62" t="str">
        <f ca="1">IFERROR(__xludf.DUMMYFUNCTION("""COMPUTED_VALUE"""),"Pantalla Xiaomi  Mi 11 Lite")</f>
        <v>Pantalla Xiaomi  Mi 11 Lite</v>
      </c>
      <c r="C387" s="75">
        <f ca="1">IFERROR(__xludf.DUMMYFUNCTION("""COMPUTED_VALUE"""),310)</f>
        <v>310</v>
      </c>
      <c r="D387" s="75">
        <f ca="1">IFERROR(__xludf.DUMMYFUNCTION("""COMPUTED_VALUE"""),80)</f>
        <v>80</v>
      </c>
      <c r="E387" s="76">
        <f ca="1">IFERROR(__xludf.DUMMYFUNCTION("""COMPUTED_VALUE"""),390)</f>
        <v>390</v>
      </c>
      <c r="F387" s="77">
        <f ca="1">IFERROR(__xludf.DUMMYFUNCTION("""COMPUTED_VALUE"""),10010406)</f>
        <v>10010406</v>
      </c>
      <c r="G387" s="77" t="str">
        <f t="shared" ca="1" si="1"/>
        <v>si</v>
      </c>
    </row>
    <row r="388" spans="1:7" ht="12.75" x14ac:dyDescent="0.2">
      <c r="A388" s="62">
        <f ca="1">IFERROR(__xludf.DUMMYFUNCTION("""COMPUTED_VALUE"""),10010417)</f>
        <v>10010417</v>
      </c>
      <c r="B388" s="62" t="str">
        <f ca="1">IFERROR(__xludf.DUMMYFUNCTION("""COMPUTED_VALUE"""),"Pantalla Xiaomi Mi 11T")</f>
        <v>Pantalla Xiaomi Mi 11T</v>
      </c>
      <c r="C388" s="75">
        <f ca="1">IFERROR(__xludf.DUMMYFUNCTION("""COMPUTED_VALUE"""),450)</f>
        <v>450</v>
      </c>
      <c r="D388" s="75">
        <f ca="1">IFERROR(__xludf.DUMMYFUNCTION("""COMPUTED_VALUE"""),150)</f>
        <v>150</v>
      </c>
      <c r="E388" s="76">
        <f ca="1">IFERROR(__xludf.DUMMYFUNCTION("""COMPUTED_VALUE"""),600)</f>
        <v>600</v>
      </c>
      <c r="F388" s="77">
        <f ca="1">IFERROR(__xludf.DUMMYFUNCTION("""COMPUTED_VALUE"""),10010417)</f>
        <v>10010417</v>
      </c>
      <c r="G388" s="77" t="str">
        <f t="shared" ca="1" si="1"/>
        <v>si</v>
      </c>
    </row>
    <row r="389" spans="1:7" ht="12.75" x14ac:dyDescent="0.2">
      <c r="A389" s="62">
        <f ca="1">IFERROR(__xludf.DUMMYFUNCTION("""COMPUTED_VALUE"""),10010268)</f>
        <v>10010268</v>
      </c>
      <c r="B389" s="62" t="str">
        <f ca="1">IFERROR(__xludf.DUMMYFUNCTION("""COMPUTED_VALUE"""),"Pantalla Xiaomi  Mi 6 Oled")</f>
        <v>Pantalla Xiaomi  Mi 6 Oled</v>
      </c>
      <c r="C389" s="75">
        <f ca="1">IFERROR(__xludf.DUMMYFUNCTION("""COMPUTED_VALUE"""),110)</f>
        <v>110</v>
      </c>
      <c r="D389" s="75">
        <f ca="1">IFERROR(__xludf.DUMMYFUNCTION("""COMPUTED_VALUE"""),0)</f>
        <v>0</v>
      </c>
      <c r="E389" s="76">
        <f ca="1">IFERROR(__xludf.DUMMYFUNCTION("""COMPUTED_VALUE"""),110)</f>
        <v>110</v>
      </c>
      <c r="F389" s="77">
        <f ca="1">IFERROR(__xludf.DUMMYFUNCTION("""COMPUTED_VALUE"""),10010268)</f>
        <v>10010268</v>
      </c>
      <c r="G389" s="77" t="str">
        <f t="shared" ca="1" si="1"/>
        <v>si</v>
      </c>
    </row>
    <row r="390" spans="1:7" ht="12.75" x14ac:dyDescent="0.2">
      <c r="A390" s="62">
        <f ca="1">IFERROR(__xludf.DUMMYFUNCTION("""COMPUTED_VALUE"""),10010439)</f>
        <v>10010439</v>
      </c>
      <c r="B390" s="62" t="str">
        <f ca="1">IFERROR(__xludf.DUMMYFUNCTION("""COMPUTED_VALUE"""),"Pantalla Xiaomi  Poco X3 GT 5g")</f>
        <v>Pantalla Xiaomi  Poco X3 GT 5g</v>
      </c>
      <c r="C390" s="75">
        <f ca="1">IFERROR(__xludf.DUMMYFUNCTION("""COMPUTED_VALUE"""),180)</f>
        <v>180</v>
      </c>
      <c r="D390" s="75">
        <f ca="1">IFERROR(__xludf.DUMMYFUNCTION("""COMPUTED_VALUE"""),0)</f>
        <v>0</v>
      </c>
      <c r="E390" s="76">
        <f ca="1">IFERROR(__xludf.DUMMYFUNCTION("""COMPUTED_VALUE"""),180)</f>
        <v>180</v>
      </c>
      <c r="F390" s="77">
        <f ca="1">IFERROR(__xludf.DUMMYFUNCTION("""COMPUTED_VALUE"""),10010439)</f>
        <v>10010439</v>
      </c>
      <c r="G390" s="77" t="str">
        <f t="shared" ca="1" si="1"/>
        <v>si</v>
      </c>
    </row>
    <row r="391" spans="1:7" ht="12.75" x14ac:dyDescent="0.2">
      <c r="A391" s="62">
        <f ca="1">IFERROR(__xludf.DUMMYFUNCTION("""COMPUTED_VALUE"""),10010440)</f>
        <v>10010440</v>
      </c>
      <c r="B391" s="62" t="str">
        <f ca="1">IFERROR(__xludf.DUMMYFUNCTION("""COMPUTED_VALUE"""),"Pantalla Xiaomi  Poco M4 Pro 5g - Redmi note 11 5G")</f>
        <v>Pantalla Xiaomi  Poco M4 Pro 5g - Redmi note 11 5G</v>
      </c>
      <c r="C391" s="75">
        <f ca="1">IFERROR(__xludf.DUMMYFUNCTION("""COMPUTED_VALUE"""),200)</f>
        <v>200</v>
      </c>
      <c r="D391" s="75">
        <f ca="1">IFERROR(__xludf.DUMMYFUNCTION("""COMPUTED_VALUE"""),0)</f>
        <v>0</v>
      </c>
      <c r="E391" s="76">
        <f ca="1">IFERROR(__xludf.DUMMYFUNCTION("""COMPUTED_VALUE"""),200)</f>
        <v>200</v>
      </c>
      <c r="F391" s="77">
        <f ca="1">IFERROR(__xludf.DUMMYFUNCTION("""COMPUTED_VALUE"""),10010440)</f>
        <v>10010440</v>
      </c>
      <c r="G391" s="77" t="str">
        <f t="shared" ca="1" si="1"/>
        <v>si</v>
      </c>
    </row>
    <row r="392" spans="1:7" ht="12.75" x14ac:dyDescent="0.2">
      <c r="A392" s="62">
        <f ca="1">IFERROR(__xludf.DUMMYFUNCTION("""COMPUTED_VALUE"""),10010441)</f>
        <v>10010441</v>
      </c>
      <c r="B392" s="62"/>
      <c r="C392" s="62"/>
      <c r="D392" s="62"/>
      <c r="E392" s="76">
        <f ca="1">IFERROR(__xludf.DUMMYFUNCTION("""COMPUTED_VALUE"""),0)</f>
        <v>0</v>
      </c>
      <c r="F392" s="77">
        <f ca="1">IFERROR(__xludf.DUMMYFUNCTION("""COMPUTED_VALUE"""),10010441)</f>
        <v>10010441</v>
      </c>
      <c r="G392" s="77" t="str">
        <f t="shared" ca="1" si="1"/>
        <v>si</v>
      </c>
    </row>
    <row r="393" spans="1:7" ht="12.75" x14ac:dyDescent="0.2">
      <c r="A393" s="62">
        <f ca="1">IFERROR(__xludf.DUMMYFUNCTION("""COMPUTED_VALUE"""),10010458)</f>
        <v>10010458</v>
      </c>
      <c r="B393" s="62" t="str">
        <f ca="1">IFERROR(__xludf.DUMMYFUNCTION("""COMPUTED_VALUE"""),"Xiaomi Pad 5")</f>
        <v>Xiaomi Pad 5</v>
      </c>
      <c r="C393" s="75">
        <f ca="1">IFERROR(__xludf.DUMMYFUNCTION("""COMPUTED_VALUE"""),0)</f>
        <v>0</v>
      </c>
      <c r="D393" s="75">
        <f ca="1">IFERROR(__xludf.DUMMYFUNCTION("""COMPUTED_VALUE"""),0)</f>
        <v>0</v>
      </c>
      <c r="E393" s="76">
        <f ca="1">IFERROR(__xludf.DUMMYFUNCTION("""COMPUTED_VALUE"""),0)</f>
        <v>0</v>
      </c>
      <c r="F393" s="77">
        <f ca="1">IFERROR(__xludf.DUMMYFUNCTION("""COMPUTED_VALUE"""),10010458)</f>
        <v>10010458</v>
      </c>
      <c r="G393" s="77" t="str">
        <f t="shared" ca="1" si="1"/>
        <v>si</v>
      </c>
    </row>
    <row r="394" spans="1:7" ht="12.75" x14ac:dyDescent="0.2">
      <c r="A394" s="62">
        <f ca="1">IFERROR(__xludf.DUMMYFUNCTION("""COMPUTED_VALUE"""),10010459)</f>
        <v>10010459</v>
      </c>
      <c r="B394" s="62" t="str">
        <f ca="1">IFERROR(__xludf.DUMMYFUNCTION("""COMPUTED_VALUE"""),"Pantalla Xiaomi  Redmi Note 11S 4G / Note 11 + Frame / Poco M4 pro 4g")</f>
        <v>Pantalla Xiaomi  Redmi Note 11S 4G / Note 11 + Frame / Poco M4 pro 4g</v>
      </c>
      <c r="C394" s="75">
        <f ca="1">IFERROR(__xludf.DUMMYFUNCTION("""COMPUTED_VALUE"""),440)</f>
        <v>440</v>
      </c>
      <c r="D394" s="75">
        <f ca="1">IFERROR(__xludf.DUMMYFUNCTION("""COMPUTED_VALUE"""),0)</f>
        <v>0</v>
      </c>
      <c r="E394" s="76">
        <f ca="1">IFERROR(__xludf.DUMMYFUNCTION("""COMPUTED_VALUE"""),440)</f>
        <v>440</v>
      </c>
      <c r="F394" s="77">
        <f ca="1">IFERROR(__xludf.DUMMYFUNCTION("""COMPUTED_VALUE"""),10010459)</f>
        <v>10010459</v>
      </c>
      <c r="G394" s="77" t="str">
        <f t="shared" ca="1" si="1"/>
        <v>si</v>
      </c>
    </row>
    <row r="395" spans="1:7" ht="12.75" x14ac:dyDescent="0.2">
      <c r="A395" s="62">
        <f ca="1">IFERROR(__xludf.DUMMYFUNCTION("""COMPUTED_VALUE"""),10010460)</f>
        <v>10010460</v>
      </c>
      <c r="B395" s="62" t="str">
        <f ca="1">IFERROR(__xludf.DUMMYFUNCTION("""COMPUTED_VALUE"""),"Pantalla Xiaomi  Mi 10 Pro")</f>
        <v>Pantalla Xiaomi  Mi 10 Pro</v>
      </c>
      <c r="C395" s="75">
        <f ca="1">IFERROR(__xludf.DUMMYFUNCTION("""COMPUTED_VALUE"""),840)</f>
        <v>840</v>
      </c>
      <c r="D395" s="75">
        <f ca="1">IFERROR(__xludf.DUMMYFUNCTION("""COMPUTED_VALUE"""),0)</f>
        <v>0</v>
      </c>
      <c r="E395" s="76">
        <f ca="1">IFERROR(__xludf.DUMMYFUNCTION("""COMPUTED_VALUE"""),840)</f>
        <v>840</v>
      </c>
      <c r="F395" s="77">
        <f ca="1">IFERROR(__xludf.DUMMYFUNCTION("""COMPUTED_VALUE"""),10010460)</f>
        <v>10010460</v>
      </c>
      <c r="G395" s="77" t="str">
        <f t="shared" ca="1" si="1"/>
        <v>si</v>
      </c>
    </row>
    <row r="396" spans="1:7" ht="12.75" x14ac:dyDescent="0.2">
      <c r="A396" s="62">
        <f ca="1">IFERROR(__xludf.DUMMYFUNCTION("""COMPUTED_VALUE"""),10010461)</f>
        <v>10010461</v>
      </c>
      <c r="B396" s="62" t="str">
        <f ca="1">IFERROR(__xludf.DUMMYFUNCTION("""COMPUTED_VALUE"""),"Pantalla Xiaomi  Redmi Note 11 Pro 5G - Poco X4 Pro 5G")</f>
        <v>Pantalla Xiaomi  Redmi Note 11 Pro 5G - Poco X4 Pro 5G</v>
      </c>
      <c r="C396" s="75">
        <f ca="1">IFERROR(__xludf.DUMMYFUNCTION("""COMPUTED_VALUE"""),640)</f>
        <v>640</v>
      </c>
      <c r="D396" s="75">
        <f ca="1">IFERROR(__xludf.DUMMYFUNCTION("""COMPUTED_VALUE"""),50)</f>
        <v>50</v>
      </c>
      <c r="E396" s="76">
        <f ca="1">IFERROR(__xludf.DUMMYFUNCTION("""COMPUTED_VALUE"""),690)</f>
        <v>690</v>
      </c>
      <c r="F396" s="77">
        <f ca="1">IFERROR(__xludf.DUMMYFUNCTION("""COMPUTED_VALUE"""),10010461)</f>
        <v>10010461</v>
      </c>
      <c r="G396" s="77" t="str">
        <f t="shared" ca="1" si="1"/>
        <v>si</v>
      </c>
    </row>
    <row r="397" spans="1:7" ht="12.75" x14ac:dyDescent="0.2">
      <c r="A397" s="62">
        <f ca="1">IFERROR(__xludf.DUMMYFUNCTION("""COMPUTED_VALUE"""),10010462)</f>
        <v>10010462</v>
      </c>
      <c r="B397" s="62" t="str">
        <f ca="1">IFERROR(__xludf.DUMMYFUNCTION("""COMPUTED_VALUE"""),"Pantalla Xiaomi  Poco F3 5G - F3 Pro ")</f>
        <v xml:space="preserve">Pantalla Xiaomi  Poco F3 5G - F3 Pro </v>
      </c>
      <c r="C397" s="75">
        <f ca="1">IFERROR(__xludf.DUMMYFUNCTION("""COMPUTED_VALUE"""),390)</f>
        <v>390</v>
      </c>
      <c r="D397" s="75">
        <f ca="1">IFERROR(__xludf.DUMMYFUNCTION("""COMPUTED_VALUE"""),0)</f>
        <v>0</v>
      </c>
      <c r="E397" s="76">
        <f ca="1">IFERROR(__xludf.DUMMYFUNCTION("""COMPUTED_VALUE"""),390)</f>
        <v>390</v>
      </c>
      <c r="F397" s="77">
        <f ca="1">IFERROR(__xludf.DUMMYFUNCTION("""COMPUTED_VALUE"""),10010462)</f>
        <v>10010462</v>
      </c>
      <c r="G397" s="77" t="str">
        <f t="shared" ca="1" si="1"/>
        <v>si</v>
      </c>
    </row>
    <row r="398" spans="1:7" ht="12.75" x14ac:dyDescent="0.2">
      <c r="A398" s="62">
        <f ca="1">IFERROR(__xludf.DUMMYFUNCTION("""COMPUTED_VALUE"""),10010479)</f>
        <v>10010479</v>
      </c>
      <c r="B398" s="62" t="str">
        <f ca="1">IFERROR(__xludf.DUMMYFUNCTION("""COMPUTED_VALUE"""),"Pantalla Xiaomi  Mi 10 ")</f>
        <v xml:space="preserve">Pantalla Xiaomi  Mi 10 </v>
      </c>
      <c r="C398" s="75">
        <f ca="1">IFERROR(__xludf.DUMMYFUNCTION("""COMPUTED_VALUE"""),440)</f>
        <v>440</v>
      </c>
      <c r="D398" s="75">
        <f ca="1">IFERROR(__xludf.DUMMYFUNCTION("""COMPUTED_VALUE"""),0)</f>
        <v>0</v>
      </c>
      <c r="E398" s="76">
        <f ca="1">IFERROR(__xludf.DUMMYFUNCTION("""COMPUTED_VALUE"""),440)</f>
        <v>440</v>
      </c>
      <c r="F398" s="77">
        <f ca="1">IFERROR(__xludf.DUMMYFUNCTION("""COMPUTED_VALUE"""),10010479)</f>
        <v>10010479</v>
      </c>
      <c r="G398" s="77" t="str">
        <f t="shared" ca="1" si="1"/>
        <v>si</v>
      </c>
    </row>
    <row r="399" spans="1:7" ht="12.75" x14ac:dyDescent="0.2">
      <c r="A399" s="62">
        <f ca="1">IFERROR(__xludf.DUMMYFUNCTION("""COMPUTED_VALUE"""),10010493)</f>
        <v>10010493</v>
      </c>
      <c r="B399" s="62" t="str">
        <f ca="1">IFERROR(__xludf.DUMMYFUNCTION("""COMPUTED_VALUE"""),"Pantalla Xiaomi  Mi 11T Pro 5G")</f>
        <v>Pantalla Xiaomi  Mi 11T Pro 5G</v>
      </c>
      <c r="C399" s="75">
        <f ca="1">IFERROR(__xludf.DUMMYFUNCTION("""COMPUTED_VALUE"""),390)</f>
        <v>390</v>
      </c>
      <c r="D399" s="75">
        <f ca="1">IFERROR(__xludf.DUMMYFUNCTION("""COMPUTED_VALUE"""),50)</f>
        <v>50</v>
      </c>
      <c r="E399" s="76">
        <f ca="1">IFERROR(__xludf.DUMMYFUNCTION("""COMPUTED_VALUE"""),440)</f>
        <v>440</v>
      </c>
      <c r="F399" s="77">
        <f ca="1">IFERROR(__xludf.DUMMYFUNCTION("""COMPUTED_VALUE"""),10010493)</f>
        <v>10010493</v>
      </c>
      <c r="G399" s="77" t="str">
        <f t="shared" ca="1" si="1"/>
        <v>si</v>
      </c>
    </row>
    <row r="400" spans="1:7" ht="12.75" x14ac:dyDescent="0.2">
      <c r="A400" s="62">
        <f ca="1">IFERROR(__xludf.DUMMYFUNCTION("""COMPUTED_VALUE"""),10010282)</f>
        <v>10010282</v>
      </c>
      <c r="B400" s="62" t="str">
        <f ca="1">IFERROR(__xludf.DUMMYFUNCTION("""COMPUTED_VALUE"""),"Pantalla Xiaomi  Mi Mix 3 Oled")</f>
        <v>Pantalla Xiaomi  Mi Mix 3 Oled</v>
      </c>
      <c r="C400" s="75">
        <f ca="1">IFERROR(__xludf.DUMMYFUNCTION("""COMPUTED_VALUE"""),0)</f>
        <v>0</v>
      </c>
      <c r="D400" s="75">
        <f ca="1">IFERROR(__xludf.DUMMYFUNCTION("""COMPUTED_VALUE"""),0)</f>
        <v>0</v>
      </c>
      <c r="E400" s="76">
        <f ca="1">IFERROR(__xludf.DUMMYFUNCTION("""COMPUTED_VALUE"""),0)</f>
        <v>0</v>
      </c>
      <c r="F400" s="77">
        <f ca="1">IFERROR(__xludf.DUMMYFUNCTION("""COMPUTED_VALUE"""),10010282)</f>
        <v>10010282</v>
      </c>
      <c r="G400" s="77" t="str">
        <f t="shared" ca="1" si="1"/>
        <v>si</v>
      </c>
    </row>
    <row r="401" spans="1:7" ht="12.75" x14ac:dyDescent="0.2">
      <c r="A401" s="62">
        <f ca="1">IFERROR(__xludf.DUMMYFUNCTION("""COMPUTED_VALUE"""),10010504)</f>
        <v>10010504</v>
      </c>
      <c r="B401" s="62" t="str">
        <f ca="1">IFERROR(__xludf.DUMMYFUNCTION("""COMPUTED_VALUE"""),"Pantalla Xiaomi K30 - Poco  X2 ")</f>
        <v xml:space="preserve">Pantalla Xiaomi K30 - Poco  X2 </v>
      </c>
      <c r="C401" s="75">
        <f ca="1">IFERROR(__xludf.DUMMYFUNCTION("""COMPUTED_VALUE"""),180)</f>
        <v>180</v>
      </c>
      <c r="D401" s="75">
        <f ca="1">IFERROR(__xludf.DUMMYFUNCTION("""COMPUTED_VALUE"""),0)</f>
        <v>0</v>
      </c>
      <c r="E401" s="76">
        <f ca="1">IFERROR(__xludf.DUMMYFUNCTION("""COMPUTED_VALUE"""),180)</f>
        <v>180</v>
      </c>
      <c r="F401" s="77">
        <f ca="1">IFERROR(__xludf.DUMMYFUNCTION("""COMPUTED_VALUE"""),10010504)</f>
        <v>10010504</v>
      </c>
      <c r="G401" s="77" t="str">
        <f t="shared" ca="1" si="1"/>
        <v>si</v>
      </c>
    </row>
    <row r="402" spans="1:7" ht="12.75" x14ac:dyDescent="0.2">
      <c r="A402" s="62">
        <f ca="1">IFERROR(__xludf.DUMMYFUNCTION("""COMPUTED_VALUE"""),10010343)</f>
        <v>10010343</v>
      </c>
      <c r="B402" s="62" t="str">
        <f ca="1">IFERROR(__xludf.DUMMYFUNCTION("""COMPUTED_VALUE"""),"Pantalla Serie 1 38mm")</f>
        <v>Pantalla Serie 1 38mm</v>
      </c>
      <c r="C402" s="75">
        <f ca="1">IFERROR(__xludf.DUMMYFUNCTION("""COMPUTED_VALUE"""),100)</f>
        <v>100</v>
      </c>
      <c r="D402" s="75">
        <f ca="1">IFERROR(__xludf.DUMMYFUNCTION("""COMPUTED_VALUE"""),0)</f>
        <v>0</v>
      </c>
      <c r="E402" s="76">
        <f ca="1">IFERROR(__xludf.DUMMYFUNCTION("""COMPUTED_VALUE"""),100)</f>
        <v>100</v>
      </c>
      <c r="F402" s="77">
        <f ca="1">IFERROR(__xludf.DUMMYFUNCTION("""COMPUTED_VALUE"""),10010343)</f>
        <v>10010343</v>
      </c>
      <c r="G402" s="77" t="str">
        <f t="shared" ca="1" si="1"/>
        <v>si</v>
      </c>
    </row>
    <row r="403" spans="1:7" ht="12.75" x14ac:dyDescent="0.2">
      <c r="A403" s="62">
        <f ca="1">IFERROR(__xludf.DUMMYFUNCTION("""COMPUTED_VALUE"""),10010344)</f>
        <v>10010344</v>
      </c>
      <c r="B403" s="62" t="str">
        <f ca="1">IFERROR(__xludf.DUMMYFUNCTION("""COMPUTED_VALUE"""),"Pantalla Serie 1 42mm")</f>
        <v>Pantalla Serie 1 42mm</v>
      </c>
      <c r="C403" s="75">
        <f ca="1">IFERROR(__xludf.DUMMYFUNCTION("""COMPUTED_VALUE"""),190)</f>
        <v>190</v>
      </c>
      <c r="D403" s="75">
        <f ca="1">IFERROR(__xludf.DUMMYFUNCTION("""COMPUTED_VALUE"""),0)</f>
        <v>0</v>
      </c>
      <c r="E403" s="76">
        <f ca="1">IFERROR(__xludf.DUMMYFUNCTION("""COMPUTED_VALUE"""),190)</f>
        <v>190</v>
      </c>
      <c r="F403" s="77">
        <f ca="1">IFERROR(__xludf.DUMMYFUNCTION("""COMPUTED_VALUE"""),10010344)</f>
        <v>10010344</v>
      </c>
      <c r="G403" s="77" t="str">
        <f t="shared" ca="1" si="1"/>
        <v>si</v>
      </c>
    </row>
    <row r="404" spans="1:7" ht="12.75" x14ac:dyDescent="0.2">
      <c r="A404" s="62">
        <f ca="1">IFERROR(__xludf.DUMMYFUNCTION("""COMPUTED_VALUE"""),10010345)</f>
        <v>10010345</v>
      </c>
      <c r="B404" s="62" t="str">
        <f ca="1">IFERROR(__xludf.DUMMYFUNCTION("""COMPUTED_VALUE"""),"Pantalla Serie 2 38mm")</f>
        <v>Pantalla Serie 2 38mm</v>
      </c>
      <c r="C404" s="75">
        <f ca="1">IFERROR(__xludf.DUMMYFUNCTION("""COMPUTED_VALUE"""),290)</f>
        <v>290</v>
      </c>
      <c r="D404" s="75">
        <f ca="1">IFERROR(__xludf.DUMMYFUNCTION("""COMPUTED_VALUE"""),0)</f>
        <v>0</v>
      </c>
      <c r="E404" s="76">
        <f ca="1">IFERROR(__xludf.DUMMYFUNCTION("""COMPUTED_VALUE"""),290)</f>
        <v>290</v>
      </c>
      <c r="F404" s="77">
        <f ca="1">IFERROR(__xludf.DUMMYFUNCTION("""COMPUTED_VALUE"""),10010345)</f>
        <v>10010345</v>
      </c>
      <c r="G404" s="77" t="str">
        <f t="shared" ca="1" si="1"/>
        <v>si</v>
      </c>
    </row>
    <row r="405" spans="1:7" ht="12.75" x14ac:dyDescent="0.2">
      <c r="A405" s="62">
        <f ca="1">IFERROR(__xludf.DUMMYFUNCTION("""COMPUTED_VALUE"""),10010346)</f>
        <v>10010346</v>
      </c>
      <c r="B405" s="62" t="str">
        <f ca="1">IFERROR(__xludf.DUMMYFUNCTION("""COMPUTED_VALUE"""),"Pantalla Serie 2 42mm")</f>
        <v>Pantalla Serie 2 42mm</v>
      </c>
      <c r="C405" s="75">
        <f ca="1">IFERROR(__xludf.DUMMYFUNCTION("""COMPUTED_VALUE"""),340)</f>
        <v>340</v>
      </c>
      <c r="D405" s="75">
        <f ca="1">IFERROR(__xludf.DUMMYFUNCTION("""COMPUTED_VALUE"""),0)</f>
        <v>0</v>
      </c>
      <c r="E405" s="76">
        <f ca="1">IFERROR(__xludf.DUMMYFUNCTION("""COMPUTED_VALUE"""),340)</f>
        <v>340</v>
      </c>
      <c r="F405" s="77">
        <f ca="1">IFERROR(__xludf.DUMMYFUNCTION("""COMPUTED_VALUE"""),10010346)</f>
        <v>10010346</v>
      </c>
      <c r="G405" s="77" t="str">
        <f t="shared" ca="1" si="1"/>
        <v>si</v>
      </c>
    </row>
    <row r="406" spans="1:7" ht="12.75" x14ac:dyDescent="0.2">
      <c r="A406" s="62">
        <f ca="1">IFERROR(__xludf.DUMMYFUNCTION("""COMPUTED_VALUE"""),10010347)</f>
        <v>10010347</v>
      </c>
      <c r="B406" s="62" t="str">
        <f ca="1">IFERROR(__xludf.DUMMYFUNCTION("""COMPUTED_VALUE"""),"Pantalla Serie 3 38mm")</f>
        <v>Pantalla Serie 3 38mm</v>
      </c>
      <c r="C406" s="75">
        <f ca="1">IFERROR(__xludf.DUMMYFUNCTION("""COMPUTED_VALUE"""),390)</f>
        <v>390</v>
      </c>
      <c r="D406" s="75">
        <f ca="1">IFERROR(__xludf.DUMMYFUNCTION("""COMPUTED_VALUE"""),0)</f>
        <v>0</v>
      </c>
      <c r="E406" s="76">
        <f ca="1">IFERROR(__xludf.DUMMYFUNCTION("""COMPUTED_VALUE"""),390)</f>
        <v>390</v>
      </c>
      <c r="F406" s="77">
        <f ca="1">IFERROR(__xludf.DUMMYFUNCTION("""COMPUTED_VALUE"""),10010347)</f>
        <v>10010347</v>
      </c>
      <c r="G406" s="77" t="str">
        <f t="shared" ca="1" si="1"/>
        <v>si</v>
      </c>
    </row>
    <row r="407" spans="1:7" ht="12.75" x14ac:dyDescent="0.2">
      <c r="A407" s="62">
        <f ca="1">IFERROR(__xludf.DUMMYFUNCTION("""COMPUTED_VALUE"""),10010348)</f>
        <v>10010348</v>
      </c>
      <c r="B407" s="62" t="str">
        <f ca="1">IFERROR(__xludf.DUMMYFUNCTION("""COMPUTED_VALUE"""),"Pantalla Serie 3 42mm")</f>
        <v>Pantalla Serie 3 42mm</v>
      </c>
      <c r="C407" s="75">
        <f ca="1">IFERROR(__xludf.DUMMYFUNCTION("""COMPUTED_VALUE"""),430)</f>
        <v>430</v>
      </c>
      <c r="D407" s="75">
        <f ca="1">IFERROR(__xludf.DUMMYFUNCTION("""COMPUTED_VALUE"""),0)</f>
        <v>0</v>
      </c>
      <c r="E407" s="76">
        <f ca="1">IFERROR(__xludf.DUMMYFUNCTION("""COMPUTED_VALUE"""),430)</f>
        <v>430</v>
      </c>
      <c r="F407" s="77">
        <f ca="1">IFERROR(__xludf.DUMMYFUNCTION("""COMPUTED_VALUE"""),10010348)</f>
        <v>10010348</v>
      </c>
      <c r="G407" s="77" t="str">
        <f t="shared" ca="1" si="1"/>
        <v>si</v>
      </c>
    </row>
    <row r="408" spans="1:7" ht="12.75" x14ac:dyDescent="0.2">
      <c r="A408" s="62">
        <f ca="1">IFERROR(__xludf.DUMMYFUNCTION("""COMPUTED_VALUE"""),10010349)</f>
        <v>10010349</v>
      </c>
      <c r="B408" s="62" t="str">
        <f ca="1">IFERROR(__xludf.DUMMYFUNCTION("""COMPUTED_VALUE"""),"Pantalla Serie 4 40mm")</f>
        <v>Pantalla Serie 4 40mm</v>
      </c>
      <c r="C408" s="75">
        <f ca="1">IFERROR(__xludf.DUMMYFUNCTION("""COMPUTED_VALUE"""),450)</f>
        <v>450</v>
      </c>
      <c r="D408" s="75">
        <f ca="1">IFERROR(__xludf.DUMMYFUNCTION("""COMPUTED_VALUE"""),0)</f>
        <v>0</v>
      </c>
      <c r="E408" s="76">
        <f ca="1">IFERROR(__xludf.DUMMYFUNCTION("""COMPUTED_VALUE"""),450)</f>
        <v>450</v>
      </c>
      <c r="F408" s="77">
        <f ca="1">IFERROR(__xludf.DUMMYFUNCTION("""COMPUTED_VALUE"""),10010349)</f>
        <v>10010349</v>
      </c>
      <c r="G408" s="77" t="str">
        <f t="shared" ca="1" si="1"/>
        <v>si</v>
      </c>
    </row>
    <row r="409" spans="1:7" ht="12.75" x14ac:dyDescent="0.2">
      <c r="A409" s="62">
        <f ca="1">IFERROR(__xludf.DUMMYFUNCTION("""COMPUTED_VALUE"""),10010350)</f>
        <v>10010350</v>
      </c>
      <c r="B409" s="62" t="str">
        <f ca="1">IFERROR(__xludf.DUMMYFUNCTION("""COMPUTED_VALUE"""),"Pantalla Serie 4 44mm")</f>
        <v>Pantalla Serie 4 44mm</v>
      </c>
      <c r="C409" s="75">
        <f ca="1">IFERROR(__xludf.DUMMYFUNCTION("""COMPUTED_VALUE"""),560)</f>
        <v>560</v>
      </c>
      <c r="D409" s="75">
        <f ca="1">IFERROR(__xludf.DUMMYFUNCTION("""COMPUTED_VALUE"""),0)</f>
        <v>0</v>
      </c>
      <c r="E409" s="76">
        <f ca="1">IFERROR(__xludf.DUMMYFUNCTION("""COMPUTED_VALUE"""),560)</f>
        <v>560</v>
      </c>
      <c r="F409" s="77">
        <f ca="1">IFERROR(__xludf.DUMMYFUNCTION("""COMPUTED_VALUE"""),10010350)</f>
        <v>10010350</v>
      </c>
      <c r="G409" s="77" t="str">
        <f t="shared" ca="1" si="1"/>
        <v>si</v>
      </c>
    </row>
    <row r="410" spans="1:7" ht="12.75" x14ac:dyDescent="0.2">
      <c r="A410" s="62">
        <f ca="1">IFERROR(__xludf.DUMMYFUNCTION("""COMPUTED_VALUE"""),10010351)</f>
        <v>10010351</v>
      </c>
      <c r="B410" s="62" t="str">
        <f ca="1">IFERROR(__xludf.DUMMYFUNCTION("""COMPUTED_VALUE"""),"Pantalla Serie 5 / SE 40mm")</f>
        <v>Pantalla Serie 5 / SE 40mm</v>
      </c>
      <c r="C410" s="75">
        <f ca="1">IFERROR(__xludf.DUMMYFUNCTION("""COMPUTED_VALUE"""),490)</f>
        <v>490</v>
      </c>
      <c r="D410" s="75">
        <f ca="1">IFERROR(__xludf.DUMMYFUNCTION("""COMPUTED_VALUE"""),0)</f>
        <v>0</v>
      </c>
      <c r="E410" s="76">
        <f ca="1">IFERROR(__xludf.DUMMYFUNCTION("""COMPUTED_VALUE"""),490)</f>
        <v>490</v>
      </c>
      <c r="F410" s="77">
        <f ca="1">IFERROR(__xludf.DUMMYFUNCTION("""COMPUTED_VALUE"""),10010351)</f>
        <v>10010351</v>
      </c>
      <c r="G410" s="77" t="str">
        <f t="shared" ca="1" si="1"/>
        <v>si</v>
      </c>
    </row>
    <row r="411" spans="1:7" ht="12.75" x14ac:dyDescent="0.2">
      <c r="A411" s="62">
        <f ca="1">IFERROR(__xludf.DUMMYFUNCTION("""COMPUTED_VALUE"""),10010352)</f>
        <v>10010352</v>
      </c>
      <c r="B411" s="62" t="str">
        <f ca="1">IFERROR(__xludf.DUMMYFUNCTION("""COMPUTED_VALUE"""),"Pantalla Serie 5 / SE  44mm")</f>
        <v>Pantalla Serie 5 / SE  44mm</v>
      </c>
      <c r="C411" s="75">
        <f ca="1">IFERROR(__xludf.DUMMYFUNCTION("""COMPUTED_VALUE"""),590)</f>
        <v>590</v>
      </c>
      <c r="D411" s="75">
        <f ca="1">IFERROR(__xludf.DUMMYFUNCTION("""COMPUTED_VALUE"""),0)</f>
        <v>0</v>
      </c>
      <c r="E411" s="76">
        <f ca="1">IFERROR(__xludf.DUMMYFUNCTION("""COMPUTED_VALUE"""),590)</f>
        <v>590</v>
      </c>
      <c r="F411" s="77">
        <f ca="1">IFERROR(__xludf.DUMMYFUNCTION("""COMPUTED_VALUE"""),10010352)</f>
        <v>10010352</v>
      </c>
      <c r="G411" s="77" t="str">
        <f t="shared" ca="1" si="1"/>
        <v>si</v>
      </c>
    </row>
    <row r="412" spans="1:7" ht="12.75" x14ac:dyDescent="0.2">
      <c r="A412" s="62">
        <f ca="1">IFERROR(__xludf.DUMMYFUNCTION("""COMPUTED_VALUE"""),10160051)</f>
        <v>10160051</v>
      </c>
      <c r="B412" s="62" t="str">
        <f ca="1">IFERROR(__xludf.DUMMYFUNCTION("""COMPUTED_VALUE"""),"Pantalla Serie 6 40mm")</f>
        <v>Pantalla Serie 6 40mm</v>
      </c>
      <c r="C412" s="75">
        <f ca="1">IFERROR(__xludf.DUMMYFUNCTION("""COMPUTED_VALUE"""),670)</f>
        <v>670</v>
      </c>
      <c r="D412" s="75">
        <f ca="1">IFERROR(__xludf.DUMMYFUNCTION("""COMPUTED_VALUE"""),0)</f>
        <v>0</v>
      </c>
      <c r="E412" s="76">
        <f ca="1">IFERROR(__xludf.DUMMYFUNCTION("""COMPUTED_VALUE"""),670)</f>
        <v>670</v>
      </c>
      <c r="F412" s="77">
        <f ca="1">IFERROR(__xludf.DUMMYFUNCTION("""COMPUTED_VALUE"""),10160051)</f>
        <v>10160051</v>
      </c>
      <c r="G412" s="77" t="str">
        <f t="shared" ca="1" si="1"/>
        <v>si</v>
      </c>
    </row>
    <row r="413" spans="1:7" ht="12.75" x14ac:dyDescent="0.2">
      <c r="A413" s="62">
        <f ca="1">IFERROR(__xludf.DUMMYFUNCTION("""COMPUTED_VALUE"""),10160052)</f>
        <v>10160052</v>
      </c>
      <c r="B413" s="62" t="str">
        <f ca="1">IFERROR(__xludf.DUMMYFUNCTION("""COMPUTED_VALUE"""),"Pantalla Serie 6  44mm")</f>
        <v>Pantalla Serie 6  44mm</v>
      </c>
      <c r="C413" s="75">
        <f ca="1">IFERROR(__xludf.DUMMYFUNCTION("""COMPUTED_VALUE"""),690)</f>
        <v>690</v>
      </c>
      <c r="D413" s="75">
        <f ca="1">IFERROR(__xludf.DUMMYFUNCTION("""COMPUTED_VALUE"""),0)</f>
        <v>0</v>
      </c>
      <c r="E413" s="76">
        <f ca="1">IFERROR(__xludf.DUMMYFUNCTION("""COMPUTED_VALUE"""),690)</f>
        <v>690</v>
      </c>
      <c r="F413" s="77">
        <f ca="1">IFERROR(__xludf.DUMMYFUNCTION("""COMPUTED_VALUE"""),10160052)</f>
        <v>10160052</v>
      </c>
      <c r="G413" s="77" t="str">
        <f t="shared" ca="1" si="1"/>
        <v>si</v>
      </c>
    </row>
    <row r="414" spans="1:7" ht="12.75" x14ac:dyDescent="0.2">
      <c r="A414" s="62">
        <f ca="1">IFERROR(__xludf.DUMMYFUNCTION("""COMPUTED_VALUE"""),10160212)</f>
        <v>10160212</v>
      </c>
      <c r="B414" s="62" t="str">
        <f ca="1">IFERROR(__xludf.DUMMYFUNCTION("""COMPUTED_VALUE"""),"Pantalla Serie 7 41mm")</f>
        <v>Pantalla Serie 7 41mm</v>
      </c>
      <c r="C414" s="75">
        <f ca="1">IFERROR(__xludf.DUMMYFUNCTION("""COMPUTED_VALUE"""),650)</f>
        <v>650</v>
      </c>
      <c r="D414" s="75">
        <f ca="1">IFERROR(__xludf.DUMMYFUNCTION("""COMPUTED_VALUE"""),0)</f>
        <v>0</v>
      </c>
      <c r="E414" s="76">
        <f ca="1">IFERROR(__xludf.DUMMYFUNCTION("""COMPUTED_VALUE"""),650)</f>
        <v>650</v>
      </c>
      <c r="F414" s="77">
        <f ca="1">IFERROR(__xludf.DUMMYFUNCTION("""COMPUTED_VALUE"""),10160212)</f>
        <v>10160212</v>
      </c>
      <c r="G414" s="77" t="str">
        <f t="shared" ca="1" si="1"/>
        <v>si</v>
      </c>
    </row>
    <row r="415" spans="1:7" ht="12.75" x14ac:dyDescent="0.2">
      <c r="A415" s="62">
        <f ca="1">IFERROR(__xludf.DUMMYFUNCTION("""COMPUTED_VALUE"""),10160213)</f>
        <v>10160213</v>
      </c>
      <c r="B415" s="62" t="str">
        <f ca="1">IFERROR(__xludf.DUMMYFUNCTION("""COMPUTED_VALUE"""),"Pantalla Serie 7 45mm")</f>
        <v>Pantalla Serie 7 45mm</v>
      </c>
      <c r="C415" s="75">
        <f ca="1">IFERROR(__xludf.DUMMYFUNCTION("""COMPUTED_VALUE"""),640)</f>
        <v>640</v>
      </c>
      <c r="D415" s="75">
        <f ca="1">IFERROR(__xludf.DUMMYFUNCTION("""COMPUTED_VALUE"""),0)</f>
        <v>0</v>
      </c>
      <c r="E415" s="76">
        <f ca="1">IFERROR(__xludf.DUMMYFUNCTION("""COMPUTED_VALUE"""),640)</f>
        <v>640</v>
      </c>
      <c r="F415" s="77">
        <f ca="1">IFERROR(__xludf.DUMMYFUNCTION("""COMPUTED_VALUE"""),10160213)</f>
        <v>10160213</v>
      </c>
      <c r="G415" s="77" t="str">
        <f t="shared" ca="1" si="1"/>
        <v>si</v>
      </c>
    </row>
    <row r="416" spans="1:7" ht="12.75" x14ac:dyDescent="0.2">
      <c r="A416" s="62">
        <f ca="1">IFERROR(__xludf.DUMMYFUNCTION("""COMPUTED_VALUE"""),10130015)</f>
        <v>10130015</v>
      </c>
      <c r="B416" s="62" t="str">
        <f ca="1">IFERROR(__xludf.DUMMYFUNCTION("""COMPUTED_VALUE"""),"Serie 1 42mm Tactil")</f>
        <v>Serie 1 42mm Tactil</v>
      </c>
      <c r="C416" s="75">
        <f ca="1">IFERROR(__xludf.DUMMYFUNCTION("""COMPUTED_VALUE"""),80)</f>
        <v>80</v>
      </c>
      <c r="D416" s="75">
        <f ca="1">IFERROR(__xludf.DUMMYFUNCTION("""COMPUTED_VALUE"""),100)</f>
        <v>100</v>
      </c>
      <c r="E416" s="76">
        <f ca="1">IFERROR(__xludf.DUMMYFUNCTION("""COMPUTED_VALUE"""),180)</f>
        <v>180</v>
      </c>
      <c r="F416" s="77">
        <f ca="1">IFERROR(__xludf.DUMMYFUNCTION("""COMPUTED_VALUE"""),10130015)</f>
        <v>10130015</v>
      </c>
      <c r="G416" s="77" t="str">
        <f t="shared" ca="1" si="1"/>
        <v>si</v>
      </c>
    </row>
    <row r="417" spans="1:7" ht="12.75" x14ac:dyDescent="0.2">
      <c r="A417" s="62">
        <f ca="1">IFERROR(__xludf.DUMMYFUNCTION("""COMPUTED_VALUE"""),10130016)</f>
        <v>10130016</v>
      </c>
      <c r="B417" s="62" t="str">
        <f ca="1">IFERROR(__xludf.DUMMYFUNCTION("""COMPUTED_VALUE"""),"Serie 2 38mm tactil")</f>
        <v>Serie 2 38mm tactil</v>
      </c>
      <c r="C417" s="75">
        <f ca="1">IFERROR(__xludf.DUMMYFUNCTION("""COMPUTED_VALUE"""),150)</f>
        <v>150</v>
      </c>
      <c r="D417" s="75">
        <f ca="1">IFERROR(__xludf.DUMMYFUNCTION("""COMPUTED_VALUE"""),100)</f>
        <v>100</v>
      </c>
      <c r="E417" s="76">
        <f ca="1">IFERROR(__xludf.DUMMYFUNCTION("""COMPUTED_VALUE"""),250)</f>
        <v>250</v>
      </c>
      <c r="F417" s="77">
        <f ca="1">IFERROR(__xludf.DUMMYFUNCTION("""COMPUTED_VALUE"""),10130016)</f>
        <v>10130016</v>
      </c>
      <c r="G417" s="77" t="str">
        <f t="shared" ca="1" si="1"/>
        <v>si</v>
      </c>
    </row>
    <row r="418" spans="1:7" ht="12.75" x14ac:dyDescent="0.2">
      <c r="A418" s="62">
        <f ca="1">IFERROR(__xludf.DUMMYFUNCTION("""COMPUTED_VALUE"""),10130017)</f>
        <v>10130017</v>
      </c>
      <c r="B418" s="62" t="str">
        <f ca="1">IFERROR(__xludf.DUMMYFUNCTION("""COMPUTED_VALUE"""),"Serie 2 42mm Tactil")</f>
        <v>Serie 2 42mm Tactil</v>
      </c>
      <c r="C418" s="75">
        <f ca="1">IFERROR(__xludf.DUMMYFUNCTION("""COMPUTED_VALUE"""),160)</f>
        <v>160</v>
      </c>
      <c r="D418" s="75">
        <f ca="1">IFERROR(__xludf.DUMMYFUNCTION("""COMPUTED_VALUE"""),100)</f>
        <v>100</v>
      </c>
      <c r="E418" s="76">
        <f ca="1">IFERROR(__xludf.DUMMYFUNCTION("""COMPUTED_VALUE"""),260)</f>
        <v>260</v>
      </c>
      <c r="F418" s="77">
        <f ca="1">IFERROR(__xludf.DUMMYFUNCTION("""COMPUTED_VALUE"""),10130017)</f>
        <v>10130017</v>
      </c>
      <c r="G418" s="77" t="str">
        <f t="shared" ca="1" si="1"/>
        <v>si</v>
      </c>
    </row>
    <row r="419" spans="1:7" ht="12.75" x14ac:dyDescent="0.2">
      <c r="A419" s="62">
        <f ca="1">IFERROR(__xludf.DUMMYFUNCTION("""COMPUTED_VALUE"""),10130018)</f>
        <v>10130018</v>
      </c>
      <c r="B419" s="62" t="str">
        <f ca="1">IFERROR(__xludf.DUMMYFUNCTION("""COMPUTED_VALUE"""),"Serie 3 38mm Tacti")</f>
        <v>Serie 3 38mm Tacti</v>
      </c>
      <c r="C419" s="75">
        <f ca="1">IFERROR(__xludf.DUMMYFUNCTION("""COMPUTED_VALUE"""),160)</f>
        <v>160</v>
      </c>
      <c r="D419" s="75">
        <f ca="1">IFERROR(__xludf.DUMMYFUNCTION("""COMPUTED_VALUE"""),100)</f>
        <v>100</v>
      </c>
      <c r="E419" s="76">
        <f ca="1">IFERROR(__xludf.DUMMYFUNCTION("""COMPUTED_VALUE"""),260)</f>
        <v>260</v>
      </c>
      <c r="F419" s="77">
        <f ca="1">IFERROR(__xludf.DUMMYFUNCTION("""COMPUTED_VALUE"""),10130018)</f>
        <v>10130018</v>
      </c>
      <c r="G419" s="77" t="str">
        <f t="shared" ca="1" si="1"/>
        <v>si</v>
      </c>
    </row>
    <row r="420" spans="1:7" ht="12.75" x14ac:dyDescent="0.2">
      <c r="A420" s="62">
        <f ca="1">IFERROR(__xludf.DUMMYFUNCTION("""COMPUTED_VALUE"""),10130019)</f>
        <v>10130019</v>
      </c>
      <c r="B420" s="62" t="str">
        <f ca="1">IFERROR(__xludf.DUMMYFUNCTION("""COMPUTED_VALUE"""),"Serie 3 42mm tactil")</f>
        <v>Serie 3 42mm tactil</v>
      </c>
      <c r="C420" s="75">
        <f ca="1">IFERROR(__xludf.DUMMYFUNCTION("""COMPUTED_VALUE"""),160)</f>
        <v>160</v>
      </c>
      <c r="D420" s="75">
        <f ca="1">IFERROR(__xludf.DUMMYFUNCTION("""COMPUTED_VALUE"""),100)</f>
        <v>100</v>
      </c>
      <c r="E420" s="76">
        <f ca="1">IFERROR(__xludf.DUMMYFUNCTION("""COMPUTED_VALUE"""),260)</f>
        <v>260</v>
      </c>
      <c r="F420" s="77">
        <f ca="1">IFERROR(__xludf.DUMMYFUNCTION("""COMPUTED_VALUE"""),10130019)</f>
        <v>10130019</v>
      </c>
      <c r="G420" s="77" t="str">
        <f t="shared" ca="1" si="1"/>
        <v>si</v>
      </c>
    </row>
    <row r="421" spans="1:7" ht="12.75" x14ac:dyDescent="0.2">
      <c r="A421" s="62">
        <f ca="1">IFERROR(__xludf.DUMMYFUNCTION("""COMPUTED_VALUE"""),10130020)</f>
        <v>10130020</v>
      </c>
      <c r="B421" s="62" t="str">
        <f ca="1">IFERROR(__xludf.DUMMYFUNCTION("""COMPUTED_VALUE"""),"Serie 4 40mm Tactil")</f>
        <v>Serie 4 40mm Tactil</v>
      </c>
      <c r="C421" s="75">
        <f ca="1">IFERROR(__xludf.DUMMYFUNCTION("""COMPUTED_VALUE"""),130)</f>
        <v>130</v>
      </c>
      <c r="D421" s="75">
        <f ca="1">IFERROR(__xludf.DUMMYFUNCTION("""COMPUTED_VALUE"""),200)</f>
        <v>200</v>
      </c>
      <c r="E421" s="76">
        <f ca="1">IFERROR(__xludf.DUMMYFUNCTION("""COMPUTED_VALUE"""),330)</f>
        <v>330</v>
      </c>
      <c r="F421" s="77">
        <f ca="1">IFERROR(__xludf.DUMMYFUNCTION("""COMPUTED_VALUE"""),10130020)</f>
        <v>10130020</v>
      </c>
      <c r="G421" s="77" t="str">
        <f t="shared" ca="1" si="1"/>
        <v>si</v>
      </c>
    </row>
    <row r="422" spans="1:7" ht="12.75" x14ac:dyDescent="0.2">
      <c r="A422" s="62">
        <f ca="1">IFERROR(__xludf.DUMMYFUNCTION("""COMPUTED_VALUE"""),10130021)</f>
        <v>10130021</v>
      </c>
      <c r="B422" s="62" t="str">
        <f ca="1">IFERROR(__xludf.DUMMYFUNCTION("""COMPUTED_VALUE"""),"Serie 4 44mm Tactil")</f>
        <v>Serie 4 44mm Tactil</v>
      </c>
      <c r="C422" s="75">
        <f ca="1">IFERROR(__xludf.DUMMYFUNCTION("""COMPUTED_VALUE"""),130)</f>
        <v>130</v>
      </c>
      <c r="D422" s="75">
        <f ca="1">IFERROR(__xludf.DUMMYFUNCTION("""COMPUTED_VALUE"""),200)</f>
        <v>200</v>
      </c>
      <c r="E422" s="76">
        <f ca="1">IFERROR(__xludf.DUMMYFUNCTION("""COMPUTED_VALUE"""),330)</f>
        <v>330</v>
      </c>
      <c r="F422" s="77">
        <f ca="1">IFERROR(__xludf.DUMMYFUNCTION("""COMPUTED_VALUE"""),10130021)</f>
        <v>10130021</v>
      </c>
      <c r="G422" s="77" t="str">
        <f t="shared" ca="1" si="1"/>
        <v>si</v>
      </c>
    </row>
    <row r="423" spans="1:7" ht="12.75" x14ac:dyDescent="0.2">
      <c r="A423" s="62">
        <f ca="1">IFERROR(__xludf.DUMMYFUNCTION("""COMPUTED_VALUE"""),10130022)</f>
        <v>10130022</v>
      </c>
      <c r="B423" s="62" t="str">
        <f ca="1">IFERROR(__xludf.DUMMYFUNCTION("""COMPUTED_VALUE"""),"Serie 5 40mm Tactil")</f>
        <v>Serie 5 40mm Tactil</v>
      </c>
      <c r="C423" s="75">
        <f ca="1">IFERROR(__xludf.DUMMYFUNCTION("""COMPUTED_VALUE"""),160)</f>
        <v>160</v>
      </c>
      <c r="D423" s="75">
        <f ca="1">IFERROR(__xludf.DUMMYFUNCTION("""COMPUTED_VALUE"""),200)</f>
        <v>200</v>
      </c>
      <c r="E423" s="76">
        <f ca="1">IFERROR(__xludf.DUMMYFUNCTION("""COMPUTED_VALUE"""),360)</f>
        <v>360</v>
      </c>
      <c r="F423" s="77">
        <f ca="1">IFERROR(__xludf.DUMMYFUNCTION("""COMPUTED_VALUE"""),10130022)</f>
        <v>10130022</v>
      </c>
      <c r="G423" s="77" t="str">
        <f t="shared" ca="1" si="1"/>
        <v>si</v>
      </c>
    </row>
    <row r="424" spans="1:7" ht="12.75" x14ac:dyDescent="0.2">
      <c r="A424" s="62">
        <f ca="1">IFERROR(__xludf.DUMMYFUNCTION("""COMPUTED_VALUE"""),10130023)</f>
        <v>10130023</v>
      </c>
      <c r="B424" s="62" t="str">
        <f ca="1">IFERROR(__xludf.DUMMYFUNCTION("""COMPUTED_VALUE"""),"Serie 5 44mm Tactil")</f>
        <v>Serie 5 44mm Tactil</v>
      </c>
      <c r="C424" s="75">
        <f ca="1">IFERROR(__xludf.DUMMYFUNCTION("""COMPUTED_VALUE"""),190)</f>
        <v>190</v>
      </c>
      <c r="D424" s="75">
        <f ca="1">IFERROR(__xludf.DUMMYFUNCTION("""COMPUTED_VALUE"""),200)</f>
        <v>200</v>
      </c>
      <c r="E424" s="76">
        <f ca="1">IFERROR(__xludf.DUMMYFUNCTION("""COMPUTED_VALUE"""),390)</f>
        <v>390</v>
      </c>
      <c r="F424" s="77">
        <f ca="1">IFERROR(__xludf.DUMMYFUNCTION("""COMPUTED_VALUE"""),10130023)</f>
        <v>10130023</v>
      </c>
      <c r="G424" s="77" t="str">
        <f t="shared" ca="1" si="1"/>
        <v>si</v>
      </c>
    </row>
    <row r="425" spans="1:7" ht="12.75" x14ac:dyDescent="0.2">
      <c r="A425" s="62">
        <f ca="1">IFERROR(__xludf.DUMMYFUNCTION("""COMPUTED_VALUE"""),10160208)</f>
        <v>10160208</v>
      </c>
      <c r="B425" s="62" t="str">
        <f ca="1">IFERROR(__xludf.DUMMYFUNCTION("""COMPUTED_VALUE"""),"Serie 6 40mm Tactil")</f>
        <v>Serie 6 40mm Tactil</v>
      </c>
      <c r="C425" s="75">
        <f ca="1">IFERROR(__xludf.DUMMYFUNCTION("""COMPUTED_VALUE"""),210)</f>
        <v>210</v>
      </c>
      <c r="D425" s="75">
        <f ca="1">IFERROR(__xludf.DUMMYFUNCTION("""COMPUTED_VALUE"""),250)</f>
        <v>250</v>
      </c>
      <c r="E425" s="76">
        <f ca="1">IFERROR(__xludf.DUMMYFUNCTION("""COMPUTED_VALUE"""),460)</f>
        <v>460</v>
      </c>
      <c r="F425" s="77">
        <f ca="1">IFERROR(__xludf.DUMMYFUNCTION("""COMPUTED_VALUE"""),10160208)</f>
        <v>10160208</v>
      </c>
      <c r="G425" s="77" t="str">
        <f t="shared" ca="1" si="1"/>
        <v>si</v>
      </c>
    </row>
    <row r="426" spans="1:7" ht="12.75" x14ac:dyDescent="0.2">
      <c r="A426" s="62">
        <f ca="1">IFERROR(__xludf.DUMMYFUNCTION("""COMPUTED_VALUE"""),10160209)</f>
        <v>10160209</v>
      </c>
      <c r="B426" s="62" t="str">
        <f ca="1">IFERROR(__xludf.DUMMYFUNCTION("""COMPUTED_VALUE"""),"Serie 6  44mm Tactil")</f>
        <v>Serie 6  44mm Tactil</v>
      </c>
      <c r="C426" s="75">
        <f ca="1">IFERROR(__xludf.DUMMYFUNCTION("""COMPUTED_VALUE"""),210)</f>
        <v>210</v>
      </c>
      <c r="D426" s="75">
        <f ca="1">IFERROR(__xludf.DUMMYFUNCTION("""COMPUTED_VALUE"""),250)</f>
        <v>250</v>
      </c>
      <c r="E426" s="76">
        <f ca="1">IFERROR(__xludf.DUMMYFUNCTION("""COMPUTED_VALUE"""),460)</f>
        <v>460</v>
      </c>
      <c r="F426" s="77">
        <f ca="1">IFERROR(__xludf.DUMMYFUNCTION("""COMPUTED_VALUE"""),10160209)</f>
        <v>10160209</v>
      </c>
      <c r="G426" s="77" t="str">
        <f t="shared" ca="1" si="1"/>
        <v>si</v>
      </c>
    </row>
    <row r="427" spans="1:7" ht="12.75" x14ac:dyDescent="0.2">
      <c r="A427" s="62">
        <f ca="1">IFERROR(__xludf.DUMMYFUNCTION("""COMPUTED_VALUE"""),10160210)</f>
        <v>10160210</v>
      </c>
      <c r="B427" s="62" t="str">
        <f ca="1">IFERROR(__xludf.DUMMYFUNCTION("""COMPUTED_VALUE"""),"Serie 7 41mm Tactil")</f>
        <v>Serie 7 41mm Tactil</v>
      </c>
      <c r="C427" s="75">
        <f ca="1">IFERROR(__xludf.DUMMYFUNCTION("""COMPUTED_VALUE"""),0)</f>
        <v>0</v>
      </c>
      <c r="D427" s="75">
        <f ca="1">IFERROR(__xludf.DUMMYFUNCTION("""COMPUTED_VALUE"""),0)</f>
        <v>0</v>
      </c>
      <c r="E427" s="76">
        <f ca="1">IFERROR(__xludf.DUMMYFUNCTION("""COMPUTED_VALUE"""),0)</f>
        <v>0</v>
      </c>
      <c r="F427" s="77">
        <f ca="1">IFERROR(__xludf.DUMMYFUNCTION("""COMPUTED_VALUE"""),10160210)</f>
        <v>10160210</v>
      </c>
      <c r="G427" s="77" t="str">
        <f t="shared" ca="1" si="1"/>
        <v>si</v>
      </c>
    </row>
    <row r="428" spans="1:7" ht="12.75" x14ac:dyDescent="0.2">
      <c r="A428" s="62">
        <f ca="1">IFERROR(__xludf.DUMMYFUNCTION("""COMPUTED_VALUE"""),10160211)</f>
        <v>10160211</v>
      </c>
      <c r="B428" s="62" t="str">
        <f ca="1">IFERROR(__xludf.DUMMYFUNCTION("""COMPUTED_VALUE"""),"Serie 7 45mm Tactil")</f>
        <v>Serie 7 45mm Tactil</v>
      </c>
      <c r="C428" s="75">
        <f ca="1">IFERROR(__xludf.DUMMYFUNCTION("""COMPUTED_VALUE"""),0)</f>
        <v>0</v>
      </c>
      <c r="D428" s="75">
        <f ca="1">IFERROR(__xludf.DUMMYFUNCTION("""COMPUTED_VALUE"""),0)</f>
        <v>0</v>
      </c>
      <c r="E428" s="76">
        <f ca="1">IFERROR(__xludf.DUMMYFUNCTION("""COMPUTED_VALUE"""),0)</f>
        <v>0</v>
      </c>
      <c r="F428" s="77">
        <f ca="1">IFERROR(__xludf.DUMMYFUNCTION("""COMPUTED_VALUE"""),10160211)</f>
        <v>10160211</v>
      </c>
      <c r="G428" s="77" t="str">
        <f t="shared" ca="1" si="1"/>
        <v>si</v>
      </c>
    </row>
    <row r="429" spans="1:7" ht="12.75" x14ac:dyDescent="0.2">
      <c r="A429" s="62">
        <f ca="1">IFERROR(__xludf.DUMMYFUNCTION("""COMPUTED_VALUE"""),10130001)</f>
        <v>10130001</v>
      </c>
      <c r="B429" s="62" t="str">
        <f ca="1">IFERROR(__xludf.DUMMYFUNCTION("""COMPUTED_VALUE"""),"IPAD 2 Tactil")</f>
        <v>IPAD 2 Tactil</v>
      </c>
      <c r="C429" s="75">
        <f ca="1">IFERROR(__xludf.DUMMYFUNCTION("""COMPUTED_VALUE"""),80)</f>
        <v>80</v>
      </c>
      <c r="D429" s="75">
        <f ca="1">IFERROR(__xludf.DUMMYFUNCTION("""COMPUTED_VALUE"""),0)</f>
        <v>0</v>
      </c>
      <c r="E429" s="76">
        <f ca="1">IFERROR(__xludf.DUMMYFUNCTION("""COMPUTED_VALUE"""),80)</f>
        <v>80</v>
      </c>
      <c r="F429" s="77">
        <f ca="1">IFERROR(__xludf.DUMMYFUNCTION("""COMPUTED_VALUE"""),10130001)</f>
        <v>10130001</v>
      </c>
      <c r="G429" s="77" t="str">
        <f t="shared" ca="1" si="1"/>
        <v>si</v>
      </c>
    </row>
    <row r="430" spans="1:7" ht="12.75" x14ac:dyDescent="0.2">
      <c r="A430" s="62">
        <f ca="1">IFERROR(__xludf.DUMMYFUNCTION("""COMPUTED_VALUE"""),10130004)</f>
        <v>10130004</v>
      </c>
      <c r="B430" s="62" t="str">
        <f ca="1">IFERROR(__xludf.DUMMYFUNCTION("""COMPUTED_VALUE"""),"IPAD 3 / 4  Tactil")</f>
        <v>IPAD 3 / 4  Tactil</v>
      </c>
      <c r="C430" s="75">
        <f ca="1">IFERROR(__xludf.DUMMYFUNCTION("""COMPUTED_VALUE"""),80)</f>
        <v>80</v>
      </c>
      <c r="D430" s="75">
        <f ca="1">IFERROR(__xludf.DUMMYFUNCTION("""COMPUTED_VALUE"""),0)</f>
        <v>0</v>
      </c>
      <c r="E430" s="76">
        <f ca="1">IFERROR(__xludf.DUMMYFUNCTION("""COMPUTED_VALUE"""),80)</f>
        <v>80</v>
      </c>
      <c r="F430" s="77">
        <f ca="1">IFERROR(__xludf.DUMMYFUNCTION("""COMPUTED_VALUE"""),10130004)</f>
        <v>10130004</v>
      </c>
      <c r="G430" s="77" t="str">
        <f t="shared" ca="1" si="1"/>
        <v>si</v>
      </c>
    </row>
    <row r="431" spans="1:7" ht="12.75" x14ac:dyDescent="0.2">
      <c r="A431" s="62">
        <f ca="1">IFERROR(__xludf.DUMMYFUNCTION("""COMPUTED_VALUE"""),10130005)</f>
        <v>10130005</v>
      </c>
      <c r="B431" s="62"/>
      <c r="C431" s="75">
        <f ca="1">IFERROR(__xludf.DUMMYFUNCTION("""COMPUTED_VALUE"""),0)</f>
        <v>0</v>
      </c>
      <c r="D431" s="75">
        <f ca="1">IFERROR(__xludf.DUMMYFUNCTION("""COMPUTED_VALUE"""),0)</f>
        <v>0</v>
      </c>
      <c r="E431" s="76">
        <f ca="1">IFERROR(__xludf.DUMMYFUNCTION("""COMPUTED_VALUE"""),0)</f>
        <v>0</v>
      </c>
      <c r="F431" s="77">
        <f ca="1">IFERROR(__xludf.DUMMYFUNCTION("""COMPUTED_VALUE"""),10130005)</f>
        <v>10130005</v>
      </c>
      <c r="G431" s="77" t="str">
        <f t="shared" ca="1" si="1"/>
        <v>si</v>
      </c>
    </row>
    <row r="432" spans="1:7" ht="12.75" x14ac:dyDescent="0.2">
      <c r="A432" s="62">
        <f ca="1">IFERROR(__xludf.DUMMYFUNCTION("""COMPUTED_VALUE"""),10130008)</f>
        <v>10130008</v>
      </c>
      <c r="B432" s="62" t="str">
        <f ca="1">IFERROR(__xludf.DUMMYFUNCTION("""COMPUTED_VALUE"""),"IPAD AIR 2 Tactil")</f>
        <v>IPAD AIR 2 Tactil</v>
      </c>
      <c r="C432" s="75">
        <f ca="1">IFERROR(__xludf.DUMMYFUNCTION("""COMPUTED_VALUE"""),100)</f>
        <v>100</v>
      </c>
      <c r="D432" s="75">
        <f ca="1">IFERROR(__xludf.DUMMYFUNCTION("""COMPUTED_VALUE"""),200)</f>
        <v>200</v>
      </c>
      <c r="E432" s="76">
        <f ca="1">IFERROR(__xludf.DUMMYFUNCTION("""COMPUTED_VALUE"""),300)</f>
        <v>300</v>
      </c>
      <c r="F432" s="77">
        <f ca="1">IFERROR(__xludf.DUMMYFUNCTION("""COMPUTED_VALUE"""),10130008)</f>
        <v>10130008</v>
      </c>
      <c r="G432" s="77" t="str">
        <f t="shared" ca="1" si="1"/>
        <v>si</v>
      </c>
    </row>
    <row r="433" spans="1:7" ht="12.75" x14ac:dyDescent="0.2">
      <c r="A433" s="62">
        <f ca="1">IFERROR(__xludf.DUMMYFUNCTION("""COMPUTED_VALUE"""),10130007)</f>
        <v>10130007</v>
      </c>
      <c r="B433" s="62" t="str">
        <f ca="1">IFERROR(__xludf.DUMMYFUNCTION("""COMPUTED_VALUE"""),"IPAD AIR ")</f>
        <v xml:space="preserve">IPAD AIR </v>
      </c>
      <c r="C433" s="75">
        <f ca="1">IFERROR(__xludf.DUMMYFUNCTION("""COMPUTED_VALUE"""),80)</f>
        <v>80</v>
      </c>
      <c r="D433" s="75">
        <f ca="1">IFERROR(__xludf.DUMMYFUNCTION("""COMPUTED_VALUE"""),40)</f>
        <v>40</v>
      </c>
      <c r="E433" s="76">
        <f ca="1">IFERROR(__xludf.DUMMYFUNCTION("""COMPUTED_VALUE"""),120)</f>
        <v>120</v>
      </c>
      <c r="F433" s="77">
        <f ca="1">IFERROR(__xludf.DUMMYFUNCTION("""COMPUTED_VALUE"""),10130007)</f>
        <v>10130007</v>
      </c>
      <c r="G433" s="77" t="str">
        <f t="shared" ca="1" si="1"/>
        <v>si</v>
      </c>
    </row>
    <row r="434" spans="1:7" ht="12.75" x14ac:dyDescent="0.2">
      <c r="A434" s="62">
        <f ca="1">IFERROR(__xludf.DUMMYFUNCTION("""COMPUTED_VALUE"""),10130002)</f>
        <v>10130002</v>
      </c>
      <c r="B434" s="62" t="str">
        <f ca="1">IFERROR(__xludf.DUMMYFUNCTION("""COMPUTED_VALUE"""),"IPAD 2017 / IPAD 5  tactil")</f>
        <v>IPAD 2017 / IPAD 5  tactil</v>
      </c>
      <c r="C434" s="75">
        <f ca="1">IFERROR(__xludf.DUMMYFUNCTION("""COMPUTED_VALUE"""),80)</f>
        <v>80</v>
      </c>
      <c r="D434" s="75">
        <f ca="1">IFERROR(__xludf.DUMMYFUNCTION("""COMPUTED_VALUE"""),40)</f>
        <v>40</v>
      </c>
      <c r="E434" s="76">
        <f ca="1">IFERROR(__xludf.DUMMYFUNCTION("""COMPUTED_VALUE"""),120)</f>
        <v>120</v>
      </c>
      <c r="F434" s="77">
        <f ca="1">IFERROR(__xludf.DUMMYFUNCTION("""COMPUTED_VALUE"""),10130002)</f>
        <v>10130002</v>
      </c>
      <c r="G434" s="77" t="str">
        <f t="shared" ca="1" si="1"/>
        <v>si</v>
      </c>
    </row>
    <row r="435" spans="1:7" ht="12.75" x14ac:dyDescent="0.2">
      <c r="A435" s="62">
        <f ca="1">IFERROR(__xludf.DUMMYFUNCTION("""COMPUTED_VALUE"""),10130003)</f>
        <v>10130003</v>
      </c>
      <c r="B435" s="62" t="str">
        <f ca="1">IFERROR(__xludf.DUMMYFUNCTION("""COMPUTED_VALUE"""),"IPAD 2018 - ipad 6 Tactil")</f>
        <v>IPAD 2018 - ipad 6 Tactil</v>
      </c>
      <c r="C435" s="75">
        <f ca="1">IFERROR(__xludf.DUMMYFUNCTION("""COMPUTED_VALUE"""),90)</f>
        <v>90</v>
      </c>
      <c r="D435" s="75">
        <f ca="1">IFERROR(__xludf.DUMMYFUNCTION("""COMPUTED_VALUE"""),40)</f>
        <v>40</v>
      </c>
      <c r="E435" s="76">
        <f ca="1">IFERROR(__xludf.DUMMYFUNCTION("""COMPUTED_VALUE"""),130)</f>
        <v>130</v>
      </c>
      <c r="F435" s="77">
        <f ca="1">IFERROR(__xludf.DUMMYFUNCTION("""COMPUTED_VALUE"""),10130003)</f>
        <v>10130003</v>
      </c>
      <c r="G435" s="77" t="str">
        <f t="shared" ca="1" si="1"/>
        <v>si</v>
      </c>
    </row>
    <row r="436" spans="1:7" ht="12.75" x14ac:dyDescent="0.2">
      <c r="A436" s="62">
        <f ca="1">IFERROR(__xludf.DUMMYFUNCTION("""COMPUTED_VALUE"""),10130010)</f>
        <v>10130010</v>
      </c>
      <c r="B436" s="62" t="str">
        <f ca="1">IFERROR(__xludf.DUMMYFUNCTION("""COMPUTED_VALUE"""),"IPAD MINI 1 /2 Tactil")</f>
        <v>IPAD MINI 1 /2 Tactil</v>
      </c>
      <c r="C436" s="75">
        <f ca="1">IFERROR(__xludf.DUMMYFUNCTION("""COMPUTED_VALUE"""),80)</f>
        <v>80</v>
      </c>
      <c r="D436" s="75">
        <f ca="1">IFERROR(__xludf.DUMMYFUNCTION("""COMPUTED_VALUE"""),0)</f>
        <v>0</v>
      </c>
      <c r="E436" s="76">
        <f ca="1">IFERROR(__xludf.DUMMYFUNCTION("""COMPUTED_VALUE"""),80)</f>
        <v>80</v>
      </c>
      <c r="F436" s="77">
        <f ca="1">IFERROR(__xludf.DUMMYFUNCTION("""COMPUTED_VALUE"""),10130010)</f>
        <v>10130010</v>
      </c>
      <c r="G436" s="77" t="str">
        <f t="shared" ca="1" si="1"/>
        <v>si</v>
      </c>
    </row>
    <row r="437" spans="1:7" ht="12.75" x14ac:dyDescent="0.2">
      <c r="A437" s="62">
        <f ca="1">IFERROR(__xludf.DUMMYFUNCTION("""COMPUTED_VALUE"""),10130011)</f>
        <v>10130011</v>
      </c>
      <c r="B437" s="62" t="str">
        <f ca="1">IFERROR(__xludf.DUMMYFUNCTION("""COMPUTED_VALUE"""),"IPAD MINI 3 Tactil")</f>
        <v>IPAD MINI 3 Tactil</v>
      </c>
      <c r="C437" s="75">
        <f ca="1">IFERROR(__xludf.DUMMYFUNCTION("""COMPUTED_VALUE"""),80)</f>
        <v>80</v>
      </c>
      <c r="D437" s="75">
        <f ca="1">IFERROR(__xludf.DUMMYFUNCTION("""COMPUTED_VALUE"""),0)</f>
        <v>0</v>
      </c>
      <c r="E437" s="76">
        <f ca="1">IFERROR(__xludf.DUMMYFUNCTION("""COMPUTED_VALUE"""),80)</f>
        <v>80</v>
      </c>
      <c r="F437" s="77">
        <f ca="1">IFERROR(__xludf.DUMMYFUNCTION("""COMPUTED_VALUE"""),10130011)</f>
        <v>10130011</v>
      </c>
      <c r="G437" s="77" t="str">
        <f t="shared" ca="1" si="1"/>
        <v>si</v>
      </c>
    </row>
    <row r="438" spans="1:7" ht="12.75" x14ac:dyDescent="0.2">
      <c r="A438" s="62">
        <f ca="1">IFERROR(__xludf.DUMMYFUNCTION("""COMPUTED_VALUE"""),10130012)</f>
        <v>10130012</v>
      </c>
      <c r="B438" s="62" t="str">
        <f ca="1">IFERROR(__xludf.DUMMYFUNCTION("""COMPUTED_VALUE"""),"IPAD MINI 4 Tactil")</f>
        <v>IPAD MINI 4 Tactil</v>
      </c>
      <c r="C438" s="75">
        <f ca="1">IFERROR(__xludf.DUMMYFUNCTION("""COMPUTED_VALUE"""),90)</f>
        <v>90</v>
      </c>
      <c r="D438" s="75">
        <f ca="1">IFERROR(__xludf.DUMMYFUNCTION("""COMPUTED_VALUE"""),300)</f>
        <v>300</v>
      </c>
      <c r="E438" s="76">
        <f ca="1">IFERROR(__xludf.DUMMYFUNCTION("""COMPUTED_VALUE"""),390)</f>
        <v>390</v>
      </c>
      <c r="F438" s="77">
        <f ca="1">IFERROR(__xludf.DUMMYFUNCTION("""COMPUTED_VALUE"""),10130012)</f>
        <v>10130012</v>
      </c>
      <c r="G438" s="77" t="str">
        <f t="shared" ca="1" si="1"/>
        <v>si</v>
      </c>
    </row>
    <row r="439" spans="1:7" ht="12.75" x14ac:dyDescent="0.2">
      <c r="A439" s="62">
        <f ca="1">IFERROR(__xludf.DUMMYFUNCTION("""COMPUTED_VALUE"""),10130013)</f>
        <v>10130013</v>
      </c>
      <c r="B439" s="62" t="str">
        <f ca="1">IFERROR(__xludf.DUMMYFUNCTION("""COMPUTED_VALUE"""),"IPAD MINI 5 Tactil")</f>
        <v>IPAD MINI 5 Tactil</v>
      </c>
      <c r="C439" s="75">
        <f ca="1">IFERROR(__xludf.DUMMYFUNCTION("""COMPUTED_VALUE"""),120)</f>
        <v>120</v>
      </c>
      <c r="D439" s="75">
        <f ca="1">IFERROR(__xludf.DUMMYFUNCTION("""COMPUTED_VALUE"""),300)</f>
        <v>300</v>
      </c>
      <c r="E439" s="76">
        <f ca="1">IFERROR(__xludf.DUMMYFUNCTION("""COMPUTED_VALUE"""),420)</f>
        <v>420</v>
      </c>
      <c r="F439" s="77">
        <f ca="1">IFERROR(__xludf.DUMMYFUNCTION("""COMPUTED_VALUE"""),10130013)</f>
        <v>10130013</v>
      </c>
      <c r="G439" s="77" t="str">
        <f t="shared" ca="1" si="1"/>
        <v>si</v>
      </c>
    </row>
    <row r="440" spans="1:7" ht="12.75" x14ac:dyDescent="0.2">
      <c r="A440" s="62">
        <f ca="1">IFERROR(__xludf.DUMMYFUNCTION("""COMPUTED_VALUE"""),10160214)</f>
        <v>10160214</v>
      </c>
      <c r="B440" s="62" t="str">
        <f ca="1">IFERROR(__xludf.DUMMYFUNCTION("""COMPUTED_VALUE"""),"IPAD MINI 6 Tactil")</f>
        <v>IPAD MINI 6 Tactil</v>
      </c>
      <c r="C440" s="75">
        <f ca="1">IFERROR(__xludf.DUMMYFUNCTION("""COMPUTED_VALUE"""),200)</f>
        <v>200</v>
      </c>
      <c r="D440" s="75">
        <f ca="1">IFERROR(__xludf.DUMMYFUNCTION("""COMPUTED_VALUE"""),300)</f>
        <v>300</v>
      </c>
      <c r="E440" s="76">
        <f ca="1">IFERROR(__xludf.DUMMYFUNCTION("""COMPUTED_VALUE"""),500)</f>
        <v>500</v>
      </c>
      <c r="F440" s="77">
        <f ca="1">IFERROR(__xludf.DUMMYFUNCTION("""COMPUTED_VALUE"""),10160214)</f>
        <v>10160214</v>
      </c>
      <c r="G440" s="77" t="str">
        <f t="shared" ca="1" si="1"/>
        <v>si</v>
      </c>
    </row>
    <row r="441" spans="1:7" ht="12.75" x14ac:dyDescent="0.2">
      <c r="A441" s="62">
        <f ca="1">IFERROR(__xludf.DUMMYFUNCTION("""COMPUTED_VALUE"""),10130014)</f>
        <v>10130014</v>
      </c>
      <c r="B441" s="62" t="str">
        <f ca="1">IFERROR(__xludf.DUMMYFUNCTION("""COMPUTED_VALUE"""),"IPAD PRO 9.7  Tactil")</f>
        <v>IPAD PRO 9.7  Tactil</v>
      </c>
      <c r="C441" s="75">
        <f ca="1">IFERROR(__xludf.DUMMYFUNCTION("""COMPUTED_VALUE"""),110)</f>
        <v>110</v>
      </c>
      <c r="D441" s="75">
        <f ca="1">IFERROR(__xludf.DUMMYFUNCTION("""COMPUTED_VALUE"""),80)</f>
        <v>80</v>
      </c>
      <c r="E441" s="76">
        <f ca="1">IFERROR(__xludf.DUMMYFUNCTION("""COMPUTED_VALUE"""),190)</f>
        <v>190</v>
      </c>
      <c r="F441" s="77">
        <f ca="1">IFERROR(__xludf.DUMMYFUNCTION("""COMPUTED_VALUE"""),10130014)</f>
        <v>10130014</v>
      </c>
      <c r="G441" s="77" t="str">
        <f t="shared" ca="1" si="1"/>
        <v>si</v>
      </c>
    </row>
    <row r="442" spans="1:7" ht="12.75" x14ac:dyDescent="0.2">
      <c r="A442" s="62">
        <f ca="1">IFERROR(__xludf.DUMMYFUNCTION("""COMPUTED_VALUE"""),10130006)</f>
        <v>10130006</v>
      </c>
      <c r="B442" s="62" t="str">
        <f ca="1">IFERROR(__xludf.DUMMYFUNCTION("""COMPUTED_VALUE"""),"IPAD 7 / 8 / 9 10.2 tactil")</f>
        <v>IPAD 7 / 8 / 9 10.2 tactil</v>
      </c>
      <c r="C442" s="75">
        <f ca="1">IFERROR(__xludf.DUMMYFUNCTION("""COMPUTED_VALUE"""),110)</f>
        <v>110</v>
      </c>
      <c r="D442" s="75">
        <f ca="1">IFERROR(__xludf.DUMMYFUNCTION("""COMPUTED_VALUE"""),60)</f>
        <v>60</v>
      </c>
      <c r="E442" s="76">
        <f ca="1">IFERROR(__xludf.DUMMYFUNCTION("""COMPUTED_VALUE"""),170)</f>
        <v>170</v>
      </c>
      <c r="F442" s="77">
        <f ca="1">IFERROR(__xludf.DUMMYFUNCTION("""COMPUTED_VALUE"""),10130006)</f>
        <v>10130006</v>
      </c>
      <c r="G442" s="77" t="str">
        <f t="shared" ca="1" si="1"/>
        <v>si</v>
      </c>
    </row>
    <row r="443" spans="1:7" ht="12.75" x14ac:dyDescent="0.2">
      <c r="A443" s="62">
        <f ca="1">IFERROR(__xludf.DUMMYFUNCTION("""COMPUTED_VALUE"""),10010472)</f>
        <v>10010472</v>
      </c>
      <c r="B443" s="62" t="str">
        <f ca="1">IFERROR(__xludf.DUMMYFUNCTION("""COMPUTED_VALUE"""),"IPAD PRO 11 2021 TACTIL")</f>
        <v>IPAD PRO 11 2021 TACTIL</v>
      </c>
      <c r="C443" s="75">
        <f ca="1">IFERROR(__xludf.DUMMYFUNCTION("""COMPUTED_VALUE"""),150)</f>
        <v>150</v>
      </c>
      <c r="D443" s="75">
        <f ca="1">IFERROR(__xludf.DUMMYFUNCTION("""COMPUTED_VALUE"""),300)</f>
        <v>300</v>
      </c>
      <c r="E443" s="76">
        <f ca="1">IFERROR(__xludf.DUMMYFUNCTION("""COMPUTED_VALUE"""),450)</f>
        <v>450</v>
      </c>
      <c r="F443" s="77">
        <f ca="1">IFERROR(__xludf.DUMMYFUNCTION("""COMPUTED_VALUE"""),10010472)</f>
        <v>10010472</v>
      </c>
      <c r="G443" s="77" t="str">
        <f t="shared" ca="1" si="1"/>
        <v>si</v>
      </c>
    </row>
    <row r="444" spans="1:7" ht="12.75" x14ac:dyDescent="0.2">
      <c r="A444" s="62">
        <f ca="1">IFERROR(__xludf.DUMMYFUNCTION("""COMPUTED_VALUE"""),10130009)</f>
        <v>10130009</v>
      </c>
      <c r="B444" s="62" t="str">
        <f ca="1">IFERROR(__xludf.DUMMYFUNCTION("""COMPUTED_VALUE"""),"IPAD Air 2019/Pro 10.5 tactil")</f>
        <v>IPAD Air 2019/Pro 10.5 tactil</v>
      </c>
      <c r="C444" s="75">
        <f ca="1">IFERROR(__xludf.DUMMYFUNCTION("""COMPUTED_VALUE"""),120)</f>
        <v>120</v>
      </c>
      <c r="D444" s="75">
        <f ca="1">IFERROR(__xludf.DUMMYFUNCTION("""COMPUTED_VALUE"""),300)</f>
        <v>300</v>
      </c>
      <c r="E444" s="76">
        <f ca="1">IFERROR(__xludf.DUMMYFUNCTION("""COMPUTED_VALUE"""),420)</f>
        <v>420</v>
      </c>
      <c r="F444" s="77">
        <f ca="1">IFERROR(__xludf.DUMMYFUNCTION("""COMPUTED_VALUE"""),10130009)</f>
        <v>10130009</v>
      </c>
      <c r="G444" s="77" t="str">
        <f t="shared" ca="1" si="1"/>
        <v>si</v>
      </c>
    </row>
    <row r="445" spans="1:7" ht="12.75" x14ac:dyDescent="0.2">
      <c r="A445" s="62">
        <f ca="1">IFERROR(__xludf.DUMMYFUNCTION("""COMPUTED_VALUE"""),10130028)</f>
        <v>10130028</v>
      </c>
      <c r="B445" s="62" t="str">
        <f ca="1">IFERROR(__xludf.DUMMYFUNCTION("""COMPUTED_VALUE"""),"IPAD AIR 4 2020 TACTIL")</f>
        <v>IPAD AIR 4 2020 TACTIL</v>
      </c>
      <c r="C445" s="75">
        <f ca="1">IFERROR(__xludf.DUMMYFUNCTION("""COMPUTED_VALUE"""),180)</f>
        <v>180</v>
      </c>
      <c r="D445" s="75">
        <f ca="1">IFERROR(__xludf.DUMMYFUNCTION("""COMPUTED_VALUE"""),300)</f>
        <v>300</v>
      </c>
      <c r="E445" s="76">
        <f ca="1">IFERROR(__xludf.DUMMYFUNCTION("""COMPUTED_VALUE"""),480)</f>
        <v>480</v>
      </c>
      <c r="F445" s="77">
        <f ca="1">IFERROR(__xludf.DUMMYFUNCTION("""COMPUTED_VALUE"""),10130028)</f>
        <v>10130028</v>
      </c>
      <c r="G445" s="77" t="str">
        <f t="shared" ca="1" si="1"/>
        <v>si</v>
      </c>
    </row>
    <row r="446" spans="1:7" ht="12.75" x14ac:dyDescent="0.2">
      <c r="A446" s="62">
        <f ca="1">IFERROR(__xludf.DUMMYFUNCTION("""COMPUTED_VALUE"""),10160191)</f>
        <v>10160191</v>
      </c>
      <c r="B446" s="62" t="str">
        <f ca="1">IFERROR(__xludf.DUMMYFUNCTION("""COMPUTED_VALUE"""),"IPAD PRO 11 1ra Generacion 2018/ 2da Genracion 2020 TACTIL")</f>
        <v>IPAD PRO 11 1ra Generacion 2018/ 2da Genracion 2020 TACTIL</v>
      </c>
      <c r="C446" s="75">
        <f ca="1">IFERROR(__xludf.DUMMYFUNCTION("""COMPUTED_VALUE"""),150)</f>
        <v>150</v>
      </c>
      <c r="D446" s="75">
        <f ca="1">IFERROR(__xludf.DUMMYFUNCTION("""COMPUTED_VALUE"""),300)</f>
        <v>300</v>
      </c>
      <c r="E446" s="76">
        <f ca="1">IFERROR(__xludf.DUMMYFUNCTION("""COMPUTED_VALUE"""),450)</f>
        <v>450</v>
      </c>
      <c r="F446" s="77">
        <f ca="1">IFERROR(__xludf.DUMMYFUNCTION("""COMPUTED_VALUE"""),10160191)</f>
        <v>10160191</v>
      </c>
      <c r="G446" s="77" t="str">
        <f t="shared" ca="1" si="1"/>
        <v>si</v>
      </c>
    </row>
    <row r="447" spans="1:7" ht="12.75" x14ac:dyDescent="0.2">
      <c r="A447" s="62">
        <f ca="1">IFERROR(__xludf.DUMMYFUNCTION("""COMPUTED_VALUE"""),10130029)</f>
        <v>10130029</v>
      </c>
      <c r="B447" s="62" t="str">
        <f ca="1">IFERROR(__xludf.DUMMYFUNCTION("""COMPUTED_VALUE"""),"IPAD PRO 12.9 1ERA (2015/2016)  Tactil")</f>
        <v>IPAD PRO 12.9 1ERA (2015/2016)  Tactil</v>
      </c>
      <c r="C447" s="75">
        <f ca="1">IFERROR(__xludf.DUMMYFUNCTION("""COMPUTED_VALUE"""),150)</f>
        <v>150</v>
      </c>
      <c r="D447" s="75">
        <f ca="1">IFERROR(__xludf.DUMMYFUNCTION("""COMPUTED_VALUE"""),350)</f>
        <v>350</v>
      </c>
      <c r="E447" s="76">
        <f ca="1">IFERROR(__xludf.DUMMYFUNCTION("""COMPUTED_VALUE"""),500)</f>
        <v>500</v>
      </c>
      <c r="F447" s="77">
        <f ca="1">IFERROR(__xludf.DUMMYFUNCTION("""COMPUTED_VALUE"""),10130029)</f>
        <v>10130029</v>
      </c>
      <c r="G447" s="77" t="str">
        <f t="shared" ca="1" si="1"/>
        <v>si</v>
      </c>
    </row>
    <row r="448" spans="1:7" ht="12.75" x14ac:dyDescent="0.2">
      <c r="A448" s="62">
        <f ca="1">IFERROR(__xludf.DUMMYFUNCTION("""COMPUTED_VALUE"""),10130030)</f>
        <v>10130030</v>
      </c>
      <c r="B448" s="62" t="str">
        <f ca="1">IFERROR(__xludf.DUMMYFUNCTION("""COMPUTED_VALUE"""),"IPAD PRO 12.9 2DA (2017)  Tactil")</f>
        <v>IPAD PRO 12.9 2DA (2017)  Tactil</v>
      </c>
      <c r="C448" s="75">
        <f ca="1">IFERROR(__xludf.DUMMYFUNCTION("""COMPUTED_VALUE"""),150)</f>
        <v>150</v>
      </c>
      <c r="D448" s="75">
        <f ca="1">IFERROR(__xludf.DUMMYFUNCTION("""COMPUTED_VALUE"""),350)</f>
        <v>350</v>
      </c>
      <c r="E448" s="76">
        <f ca="1">IFERROR(__xludf.DUMMYFUNCTION("""COMPUTED_VALUE"""),500)</f>
        <v>500</v>
      </c>
      <c r="F448" s="77">
        <f ca="1">IFERROR(__xludf.DUMMYFUNCTION("""COMPUTED_VALUE"""),10130030)</f>
        <v>10130030</v>
      </c>
      <c r="G448" s="77" t="str">
        <f t="shared" ca="1" si="1"/>
        <v>si</v>
      </c>
    </row>
    <row r="449" spans="1:7" ht="12.75" x14ac:dyDescent="0.2">
      <c r="A449" s="62">
        <f ca="1">IFERROR(__xludf.DUMMYFUNCTION("""COMPUTED_VALUE"""),10130031)</f>
        <v>10130031</v>
      </c>
      <c r="B449" s="62" t="str">
        <f ca="1">IFERROR(__xludf.DUMMYFUNCTION("""COMPUTED_VALUE"""),"IPAD PRO 12.9 3ERA (2018)  Tactil")</f>
        <v>IPAD PRO 12.9 3ERA (2018)  Tactil</v>
      </c>
      <c r="C449" s="75">
        <f ca="1">IFERROR(__xludf.DUMMYFUNCTION("""COMPUTED_VALUE"""),150)</f>
        <v>150</v>
      </c>
      <c r="D449" s="75">
        <f ca="1">IFERROR(__xludf.DUMMYFUNCTION("""COMPUTED_VALUE"""),350)</f>
        <v>350</v>
      </c>
      <c r="E449" s="76">
        <f ca="1">IFERROR(__xludf.DUMMYFUNCTION("""COMPUTED_VALUE"""),500)</f>
        <v>500</v>
      </c>
      <c r="F449" s="77">
        <f ca="1">IFERROR(__xludf.DUMMYFUNCTION("""COMPUTED_VALUE"""),10130031)</f>
        <v>10130031</v>
      </c>
      <c r="G449" s="77" t="str">
        <f t="shared" ca="1" si="1"/>
        <v>si</v>
      </c>
    </row>
    <row r="450" spans="1:7" ht="12.75" x14ac:dyDescent="0.2">
      <c r="A450" s="62">
        <f ca="1">IFERROR(__xludf.DUMMYFUNCTION("""COMPUTED_VALUE"""),10130032)</f>
        <v>10130032</v>
      </c>
      <c r="B450" s="62" t="str">
        <f ca="1">IFERROR(__xludf.DUMMYFUNCTION("""COMPUTED_VALUE"""),"IPAD PRO 12.9 4TA(2020)  Tactil")</f>
        <v>IPAD PRO 12.9 4TA(2020)  Tactil</v>
      </c>
      <c r="C450" s="75">
        <f ca="1">IFERROR(__xludf.DUMMYFUNCTION("""COMPUTED_VALUE"""),150)</f>
        <v>150</v>
      </c>
      <c r="D450" s="75">
        <f ca="1">IFERROR(__xludf.DUMMYFUNCTION("""COMPUTED_VALUE"""),350)</f>
        <v>350</v>
      </c>
      <c r="E450" s="76">
        <f ca="1">IFERROR(__xludf.DUMMYFUNCTION("""COMPUTED_VALUE"""),500)</f>
        <v>500</v>
      </c>
      <c r="F450" s="77">
        <f ca="1">IFERROR(__xludf.DUMMYFUNCTION("""COMPUTED_VALUE"""),10130032)</f>
        <v>10130032</v>
      </c>
      <c r="G450" s="77" t="str">
        <f t="shared" ca="1" si="1"/>
        <v>si</v>
      </c>
    </row>
    <row r="451" spans="1:7" ht="12.75" x14ac:dyDescent="0.2">
      <c r="A451" s="62">
        <f ca="1">IFERROR(__xludf.DUMMYFUNCTION("""COMPUTED_VALUE"""),10130024)</f>
        <v>10130024</v>
      </c>
      <c r="B451" s="62" t="str">
        <f ca="1">IFERROR(__xludf.DUMMYFUNCTION("""COMPUTED_VALUE"""),"X Glass + Tactil")</f>
        <v>X Glass + Tactil</v>
      </c>
      <c r="C451" s="75">
        <f ca="1">IFERROR(__xludf.DUMMYFUNCTION("""COMPUTED_VALUE"""),60)</f>
        <v>60</v>
      </c>
      <c r="D451" s="75">
        <f ca="1">IFERROR(__xludf.DUMMYFUNCTION("""COMPUTED_VALUE"""),0)</f>
        <v>0</v>
      </c>
      <c r="E451" s="76">
        <f ca="1">IFERROR(__xludf.DUMMYFUNCTION("""COMPUTED_VALUE"""),60)</f>
        <v>60</v>
      </c>
      <c r="F451" s="77">
        <f ca="1">IFERROR(__xludf.DUMMYFUNCTION("""COMPUTED_VALUE"""),10130024)</f>
        <v>10130024</v>
      </c>
      <c r="G451" s="77" t="str">
        <f t="shared" ca="1" si="1"/>
        <v>si</v>
      </c>
    </row>
    <row r="452" spans="1:7" ht="12.75" x14ac:dyDescent="0.2">
      <c r="A452" s="62">
        <f ca="1">IFERROR(__xludf.DUMMYFUNCTION("""COMPUTED_VALUE"""),10130025)</f>
        <v>10130025</v>
      </c>
      <c r="B452" s="62" t="str">
        <f ca="1">IFERROR(__xludf.DUMMYFUNCTION("""COMPUTED_VALUE"""),"Xr Glass + Tactil")</f>
        <v>Xr Glass + Tactil</v>
      </c>
      <c r="C452" s="75">
        <f ca="1">IFERROR(__xludf.DUMMYFUNCTION("""COMPUTED_VALUE"""),80)</f>
        <v>80</v>
      </c>
      <c r="D452" s="75">
        <f ca="1">IFERROR(__xludf.DUMMYFUNCTION("""COMPUTED_VALUE"""),0)</f>
        <v>0</v>
      </c>
      <c r="E452" s="76">
        <f ca="1">IFERROR(__xludf.DUMMYFUNCTION("""COMPUTED_VALUE"""),80)</f>
        <v>80</v>
      </c>
      <c r="F452" s="77">
        <f ca="1">IFERROR(__xludf.DUMMYFUNCTION("""COMPUTED_VALUE"""),10130025)</f>
        <v>10130025</v>
      </c>
      <c r="G452" s="77" t="str">
        <f t="shared" ca="1" si="1"/>
        <v>si</v>
      </c>
    </row>
    <row r="453" spans="1:7" ht="12.75" x14ac:dyDescent="0.2">
      <c r="A453" s="62">
        <f ca="1">IFERROR(__xludf.DUMMYFUNCTION("""COMPUTED_VALUE"""),10130026)</f>
        <v>10130026</v>
      </c>
      <c r="B453" s="62" t="str">
        <f ca="1">IFERROR(__xludf.DUMMYFUNCTION("""COMPUTED_VALUE"""),"Xs Glass + Tactil")</f>
        <v>Xs Glass + Tactil</v>
      </c>
      <c r="C453" s="75">
        <f ca="1">IFERROR(__xludf.DUMMYFUNCTION("""COMPUTED_VALUE"""),70)</f>
        <v>70</v>
      </c>
      <c r="D453" s="75">
        <f ca="1">IFERROR(__xludf.DUMMYFUNCTION("""COMPUTED_VALUE"""),0)</f>
        <v>0</v>
      </c>
      <c r="E453" s="76">
        <f ca="1">IFERROR(__xludf.DUMMYFUNCTION("""COMPUTED_VALUE"""),70)</f>
        <v>70</v>
      </c>
      <c r="F453" s="77">
        <f ca="1">IFERROR(__xludf.DUMMYFUNCTION("""COMPUTED_VALUE"""),10130026)</f>
        <v>10130026</v>
      </c>
      <c r="G453" s="77" t="str">
        <f t="shared" ca="1" si="1"/>
        <v>si</v>
      </c>
    </row>
    <row r="454" spans="1:7" ht="12.75" x14ac:dyDescent="0.2">
      <c r="A454" s="62">
        <f ca="1">IFERROR(__xludf.DUMMYFUNCTION("""COMPUTED_VALUE"""),10130027)</f>
        <v>10130027</v>
      </c>
      <c r="B454" s="62" t="str">
        <f ca="1">IFERROR(__xludf.DUMMYFUNCTION("""COMPUTED_VALUE"""),"Xsmax Glass + Tactil")</f>
        <v>Xsmax Glass + Tactil</v>
      </c>
      <c r="C454" s="75">
        <f ca="1">IFERROR(__xludf.DUMMYFUNCTION("""COMPUTED_VALUE"""),80)</f>
        <v>80</v>
      </c>
      <c r="D454" s="75">
        <f ca="1">IFERROR(__xludf.DUMMYFUNCTION("""COMPUTED_VALUE"""),0)</f>
        <v>0</v>
      </c>
      <c r="E454" s="76">
        <f ca="1">IFERROR(__xludf.DUMMYFUNCTION("""COMPUTED_VALUE"""),80)</f>
        <v>80</v>
      </c>
      <c r="F454" s="77">
        <f ca="1">IFERROR(__xludf.DUMMYFUNCTION("""COMPUTED_VALUE"""),10130027)</f>
        <v>10130027</v>
      </c>
      <c r="G454" s="77" t="str">
        <f t="shared" ca="1" si="1"/>
        <v>si</v>
      </c>
    </row>
    <row r="455" spans="1:7" ht="12.75" x14ac:dyDescent="0.2">
      <c r="A455" s="62">
        <f ca="1">IFERROR(__xludf.DUMMYFUNCTION("""COMPUTED_VALUE"""),10130033)</f>
        <v>10130033</v>
      </c>
      <c r="B455" s="62" t="str">
        <f ca="1">IFERROR(__xludf.DUMMYFUNCTION("""COMPUTED_VALUE"""),"11 Glass + Tactil")</f>
        <v>11 Glass + Tactil</v>
      </c>
      <c r="C455" s="75">
        <f ca="1">IFERROR(__xludf.DUMMYFUNCTION("""COMPUTED_VALUE"""),0)</f>
        <v>0</v>
      </c>
      <c r="D455" s="75">
        <f ca="1">IFERROR(__xludf.DUMMYFUNCTION("""COMPUTED_VALUE"""),0)</f>
        <v>0</v>
      </c>
      <c r="E455" s="76">
        <f ca="1">IFERROR(__xludf.DUMMYFUNCTION("""COMPUTED_VALUE"""),0)</f>
        <v>0</v>
      </c>
      <c r="F455" s="77">
        <f ca="1">IFERROR(__xludf.DUMMYFUNCTION("""COMPUTED_VALUE"""),10130033)</f>
        <v>10130033</v>
      </c>
      <c r="G455" s="77" t="str">
        <f t="shared" ca="1" si="1"/>
        <v>si</v>
      </c>
    </row>
    <row r="456" spans="1:7" ht="12.75" x14ac:dyDescent="0.2">
      <c r="A456" s="62">
        <f ca="1">IFERROR(__xludf.DUMMYFUNCTION("""COMPUTED_VALUE"""),10130034)</f>
        <v>10130034</v>
      </c>
      <c r="B456" s="62" t="str">
        <f ca="1">IFERROR(__xludf.DUMMYFUNCTION("""COMPUTED_VALUE"""),"11 Pro Glass + Tactil")</f>
        <v>11 Pro Glass + Tactil</v>
      </c>
      <c r="C456" s="75">
        <f ca="1">IFERROR(__xludf.DUMMYFUNCTION("""COMPUTED_VALUE"""),0)</f>
        <v>0</v>
      </c>
      <c r="D456" s="75">
        <f ca="1">IFERROR(__xludf.DUMMYFUNCTION("""COMPUTED_VALUE"""),0)</f>
        <v>0</v>
      </c>
      <c r="E456" s="76">
        <f ca="1">IFERROR(__xludf.DUMMYFUNCTION("""COMPUTED_VALUE"""),0)</f>
        <v>0</v>
      </c>
      <c r="F456" s="77">
        <f ca="1">IFERROR(__xludf.DUMMYFUNCTION("""COMPUTED_VALUE"""),10130034)</f>
        <v>10130034</v>
      </c>
      <c r="G456" s="77" t="str">
        <f t="shared" ca="1" si="1"/>
        <v>si</v>
      </c>
    </row>
    <row r="457" spans="1:7" ht="12.75" x14ac:dyDescent="0.2">
      <c r="A457" s="62">
        <f ca="1">IFERROR(__xludf.DUMMYFUNCTION("""COMPUTED_VALUE"""),10130035)</f>
        <v>10130035</v>
      </c>
      <c r="B457" s="62" t="str">
        <f ca="1">IFERROR(__xludf.DUMMYFUNCTION("""COMPUTED_VALUE"""),"11 Pro Max  + Tactil")</f>
        <v>11 Pro Max  + Tactil</v>
      </c>
      <c r="C457" s="75">
        <f ca="1">IFERROR(__xludf.DUMMYFUNCTION("""COMPUTED_VALUE"""),0)</f>
        <v>0</v>
      </c>
      <c r="D457" s="75">
        <f ca="1">IFERROR(__xludf.DUMMYFUNCTION("""COMPUTED_VALUE"""),0)</f>
        <v>0</v>
      </c>
      <c r="E457" s="76">
        <f ca="1">IFERROR(__xludf.DUMMYFUNCTION("""COMPUTED_VALUE"""),0)</f>
        <v>0</v>
      </c>
      <c r="F457" s="77">
        <f ca="1">IFERROR(__xludf.DUMMYFUNCTION("""COMPUTED_VALUE"""),10130035)</f>
        <v>10130035</v>
      </c>
      <c r="G457" s="77" t="str">
        <f t="shared" ca="1" si="1"/>
        <v>si</v>
      </c>
    </row>
    <row r="458" spans="1:7" ht="12.75" x14ac:dyDescent="0.2">
      <c r="A458" s="62">
        <f ca="1">IFERROR(__xludf.DUMMYFUNCTION("""COMPUTED_VALUE"""),10130036)</f>
        <v>10130036</v>
      </c>
      <c r="B458" s="62" t="str">
        <f ca="1">IFERROR(__xludf.DUMMYFUNCTION("""COMPUTED_VALUE"""),"12 Glass + Tactil")</f>
        <v>12 Glass + Tactil</v>
      </c>
      <c r="C458" s="75">
        <f ca="1">IFERROR(__xludf.DUMMYFUNCTION("""COMPUTED_VALUE"""),0)</f>
        <v>0</v>
      </c>
      <c r="D458" s="75">
        <f ca="1">IFERROR(__xludf.DUMMYFUNCTION("""COMPUTED_VALUE"""),0)</f>
        <v>0</v>
      </c>
      <c r="E458" s="76">
        <f ca="1">IFERROR(__xludf.DUMMYFUNCTION("""COMPUTED_VALUE"""),0)</f>
        <v>0</v>
      </c>
      <c r="F458" s="77">
        <f ca="1">IFERROR(__xludf.DUMMYFUNCTION("""COMPUTED_VALUE"""),10130036)</f>
        <v>10130036</v>
      </c>
      <c r="G458" s="77" t="str">
        <f t="shared" ca="1" si="1"/>
        <v>si</v>
      </c>
    </row>
    <row r="459" spans="1:7" ht="12.75" x14ac:dyDescent="0.2">
      <c r="A459" s="62">
        <f ca="1">IFERROR(__xludf.DUMMYFUNCTION("""COMPUTED_VALUE"""),10130037)</f>
        <v>10130037</v>
      </c>
      <c r="B459" s="62" t="str">
        <f ca="1">IFERROR(__xludf.DUMMYFUNCTION("""COMPUTED_VALUE"""),"12 Pro Glass + Tactil")</f>
        <v>12 Pro Glass + Tactil</v>
      </c>
      <c r="C459" s="75">
        <f ca="1">IFERROR(__xludf.DUMMYFUNCTION("""COMPUTED_VALUE"""),0)</f>
        <v>0</v>
      </c>
      <c r="D459" s="75">
        <f ca="1">IFERROR(__xludf.DUMMYFUNCTION("""COMPUTED_VALUE"""),0)</f>
        <v>0</v>
      </c>
      <c r="E459" s="76">
        <f ca="1">IFERROR(__xludf.DUMMYFUNCTION("""COMPUTED_VALUE"""),0)</f>
        <v>0</v>
      </c>
      <c r="F459" s="77">
        <f ca="1">IFERROR(__xludf.DUMMYFUNCTION("""COMPUTED_VALUE"""),10130037)</f>
        <v>10130037</v>
      </c>
      <c r="G459" s="77" t="str">
        <f t="shared" ca="1" si="1"/>
        <v>si</v>
      </c>
    </row>
    <row r="460" spans="1:7" ht="12.75" x14ac:dyDescent="0.2">
      <c r="A460" s="62">
        <f ca="1">IFERROR(__xludf.DUMMYFUNCTION("""COMPUTED_VALUE"""),10130038)</f>
        <v>10130038</v>
      </c>
      <c r="B460" s="62" t="str">
        <f ca="1">IFERROR(__xludf.DUMMYFUNCTION("""COMPUTED_VALUE"""),"12 Pro Max  + Tactil")</f>
        <v>12 Pro Max  + Tactil</v>
      </c>
      <c r="C460" s="75">
        <f ca="1">IFERROR(__xludf.DUMMYFUNCTION("""COMPUTED_VALUE"""),0)</f>
        <v>0</v>
      </c>
      <c r="D460" s="75">
        <f ca="1">IFERROR(__xludf.DUMMYFUNCTION("""COMPUTED_VALUE"""),0)</f>
        <v>0</v>
      </c>
      <c r="E460" s="76">
        <f ca="1">IFERROR(__xludf.DUMMYFUNCTION("""COMPUTED_VALUE"""),0)</f>
        <v>0</v>
      </c>
      <c r="F460" s="77">
        <f ca="1">IFERROR(__xludf.DUMMYFUNCTION("""COMPUTED_VALUE"""),10130038)</f>
        <v>10130038</v>
      </c>
      <c r="G460" s="77" t="str">
        <f t="shared" ca="1" si="1"/>
        <v>si</v>
      </c>
    </row>
    <row r="461" spans="1:7" ht="12.75" x14ac:dyDescent="0.2">
      <c r="A461" s="62">
        <f ca="1">IFERROR(__xludf.DUMMYFUNCTION("""COMPUTED_VALUE"""),10130039)</f>
        <v>10130039</v>
      </c>
      <c r="B461" s="62" t="str">
        <f ca="1">IFERROR(__xludf.DUMMYFUNCTION("""COMPUTED_VALUE"""),"12 Mini Glass + Tactil")</f>
        <v>12 Mini Glass + Tactil</v>
      </c>
      <c r="C461" s="75">
        <f ca="1">IFERROR(__xludf.DUMMYFUNCTION("""COMPUTED_VALUE"""),0)</f>
        <v>0</v>
      </c>
      <c r="D461" s="75">
        <f ca="1">IFERROR(__xludf.DUMMYFUNCTION("""COMPUTED_VALUE"""),0)</f>
        <v>0</v>
      </c>
      <c r="E461" s="76">
        <f ca="1">IFERROR(__xludf.DUMMYFUNCTION("""COMPUTED_VALUE"""),0)</f>
        <v>0</v>
      </c>
      <c r="F461" s="77">
        <f ca="1">IFERROR(__xludf.DUMMYFUNCTION("""COMPUTED_VALUE"""),10130039)</f>
        <v>10130039</v>
      </c>
      <c r="G461" s="77" t="str">
        <f t="shared" ca="1" si="1"/>
        <v>si</v>
      </c>
    </row>
    <row r="462" spans="1:7" ht="12.75" x14ac:dyDescent="0.2">
      <c r="A462" s="62">
        <f ca="1">IFERROR(__xludf.DUMMYFUNCTION("""COMPUTED_VALUE"""),10070004)</f>
        <v>10070004</v>
      </c>
      <c r="B462" s="62" t="str">
        <f ca="1">IFERROR(__xludf.DUMMYFUNCTION("""COMPUTED_VALUE"""),"X Glass ")</f>
        <v xml:space="preserve">X Glass </v>
      </c>
      <c r="C462" s="75">
        <f ca="1">IFERROR(__xludf.DUMMYFUNCTION("""COMPUTED_VALUE"""),25)</f>
        <v>25</v>
      </c>
      <c r="D462" s="75">
        <f ca="1">IFERROR(__xludf.DUMMYFUNCTION("""COMPUTED_VALUE"""),0)</f>
        <v>0</v>
      </c>
      <c r="E462" s="76">
        <f ca="1">IFERROR(__xludf.DUMMYFUNCTION("""COMPUTED_VALUE"""),25)</f>
        <v>25</v>
      </c>
      <c r="F462" s="77">
        <f ca="1">IFERROR(__xludf.DUMMYFUNCTION("""COMPUTED_VALUE"""),10070004)</f>
        <v>10070004</v>
      </c>
      <c r="G462" s="77" t="str">
        <f t="shared" ca="1" si="1"/>
        <v>si</v>
      </c>
    </row>
    <row r="463" spans="1:7" ht="12.75" x14ac:dyDescent="0.2">
      <c r="A463" s="62">
        <f ca="1">IFERROR(__xludf.DUMMYFUNCTION("""COMPUTED_VALUE"""),10070005)</f>
        <v>10070005</v>
      </c>
      <c r="B463" s="62" t="str">
        <f ca="1">IFERROR(__xludf.DUMMYFUNCTION("""COMPUTED_VALUE"""),"Xr Glass ")</f>
        <v xml:space="preserve">Xr Glass </v>
      </c>
      <c r="C463" s="75">
        <f ca="1">IFERROR(__xludf.DUMMYFUNCTION("""COMPUTED_VALUE"""),25)</f>
        <v>25</v>
      </c>
      <c r="D463" s="75">
        <f ca="1">IFERROR(__xludf.DUMMYFUNCTION("""COMPUTED_VALUE"""),0)</f>
        <v>0</v>
      </c>
      <c r="E463" s="76">
        <f ca="1">IFERROR(__xludf.DUMMYFUNCTION("""COMPUTED_VALUE"""),25)</f>
        <v>25</v>
      </c>
      <c r="F463" s="77">
        <f ca="1">IFERROR(__xludf.DUMMYFUNCTION("""COMPUTED_VALUE"""),10070005)</f>
        <v>10070005</v>
      </c>
      <c r="G463" s="77" t="str">
        <f t="shared" ca="1" si="1"/>
        <v>si</v>
      </c>
    </row>
    <row r="464" spans="1:7" ht="12.75" x14ac:dyDescent="0.2">
      <c r="A464" s="62">
        <f ca="1">IFERROR(__xludf.DUMMYFUNCTION("""COMPUTED_VALUE"""),10070006)</f>
        <v>10070006</v>
      </c>
      <c r="B464" s="62" t="str">
        <f ca="1">IFERROR(__xludf.DUMMYFUNCTION("""COMPUTED_VALUE"""),"Xs Glass ")</f>
        <v xml:space="preserve">Xs Glass </v>
      </c>
      <c r="C464" s="75">
        <f ca="1">IFERROR(__xludf.DUMMYFUNCTION("""COMPUTED_VALUE"""),25)</f>
        <v>25</v>
      </c>
      <c r="D464" s="75">
        <f ca="1">IFERROR(__xludf.DUMMYFUNCTION("""COMPUTED_VALUE"""),0)</f>
        <v>0</v>
      </c>
      <c r="E464" s="76">
        <f ca="1">IFERROR(__xludf.DUMMYFUNCTION("""COMPUTED_VALUE"""),25)</f>
        <v>25</v>
      </c>
      <c r="F464" s="77">
        <f ca="1">IFERROR(__xludf.DUMMYFUNCTION("""COMPUTED_VALUE"""),10070006)</f>
        <v>10070006</v>
      </c>
      <c r="G464" s="77" t="str">
        <f t="shared" ca="1" si="1"/>
        <v>si</v>
      </c>
    </row>
    <row r="465" spans="1:7" ht="12.75" x14ac:dyDescent="0.2">
      <c r="A465" s="62">
        <f ca="1">IFERROR(__xludf.DUMMYFUNCTION("""COMPUTED_VALUE"""),10070007)</f>
        <v>10070007</v>
      </c>
      <c r="B465" s="62" t="str">
        <f ca="1">IFERROR(__xludf.DUMMYFUNCTION("""COMPUTED_VALUE"""),"Xsmax Glass ")</f>
        <v xml:space="preserve">Xsmax Glass </v>
      </c>
      <c r="C465" s="75">
        <f ca="1">IFERROR(__xludf.DUMMYFUNCTION("""COMPUTED_VALUE"""),25)</f>
        <v>25</v>
      </c>
      <c r="D465" s="75">
        <f ca="1">IFERROR(__xludf.DUMMYFUNCTION("""COMPUTED_VALUE"""),0)</f>
        <v>0</v>
      </c>
      <c r="E465" s="76">
        <f ca="1">IFERROR(__xludf.DUMMYFUNCTION("""COMPUTED_VALUE"""),25)</f>
        <v>25</v>
      </c>
      <c r="F465" s="77">
        <f ca="1">IFERROR(__xludf.DUMMYFUNCTION("""COMPUTED_VALUE"""),10070007)</f>
        <v>10070007</v>
      </c>
      <c r="G465" s="77" t="str">
        <f t="shared" ca="1" si="1"/>
        <v>si</v>
      </c>
    </row>
    <row r="466" spans="1:7" ht="12.75" x14ac:dyDescent="0.2">
      <c r="A466" s="62">
        <f ca="1">IFERROR(__xludf.DUMMYFUNCTION("""COMPUTED_VALUE"""),10070001)</f>
        <v>10070001</v>
      </c>
      <c r="B466" s="62" t="str">
        <f ca="1">IFERROR(__xludf.DUMMYFUNCTION("""COMPUTED_VALUE"""),"11 Glass ")</f>
        <v xml:space="preserve">11 Glass </v>
      </c>
      <c r="C466" s="75">
        <f ca="1">IFERROR(__xludf.DUMMYFUNCTION("""COMPUTED_VALUE"""),25)</f>
        <v>25</v>
      </c>
      <c r="D466" s="75">
        <f ca="1">IFERROR(__xludf.DUMMYFUNCTION("""COMPUTED_VALUE"""),0)</f>
        <v>0</v>
      </c>
      <c r="E466" s="76">
        <f ca="1">IFERROR(__xludf.DUMMYFUNCTION("""COMPUTED_VALUE"""),25)</f>
        <v>25</v>
      </c>
      <c r="F466" s="77">
        <f ca="1">IFERROR(__xludf.DUMMYFUNCTION("""COMPUTED_VALUE"""),10070001)</f>
        <v>10070001</v>
      </c>
      <c r="G466" s="77" t="str">
        <f t="shared" ca="1" si="1"/>
        <v>si</v>
      </c>
    </row>
    <row r="467" spans="1:7" ht="12.75" x14ac:dyDescent="0.2">
      <c r="A467" s="62">
        <f ca="1">IFERROR(__xludf.DUMMYFUNCTION("""COMPUTED_VALUE"""),10070002)</f>
        <v>10070002</v>
      </c>
      <c r="B467" s="62" t="str">
        <f ca="1">IFERROR(__xludf.DUMMYFUNCTION("""COMPUTED_VALUE"""),"11 pro Glass")</f>
        <v>11 pro Glass</v>
      </c>
      <c r="C467" s="75">
        <f ca="1">IFERROR(__xludf.DUMMYFUNCTION("""COMPUTED_VALUE"""),25)</f>
        <v>25</v>
      </c>
      <c r="D467" s="75">
        <f ca="1">IFERROR(__xludf.DUMMYFUNCTION("""COMPUTED_VALUE"""),0)</f>
        <v>0</v>
      </c>
      <c r="E467" s="76">
        <f ca="1">IFERROR(__xludf.DUMMYFUNCTION("""COMPUTED_VALUE"""),25)</f>
        <v>25</v>
      </c>
      <c r="F467" s="77">
        <f ca="1">IFERROR(__xludf.DUMMYFUNCTION("""COMPUTED_VALUE"""),10070002)</f>
        <v>10070002</v>
      </c>
      <c r="G467" s="77" t="str">
        <f t="shared" ca="1" si="1"/>
        <v>si</v>
      </c>
    </row>
    <row r="468" spans="1:7" ht="12.75" x14ac:dyDescent="0.2">
      <c r="A468" s="62">
        <f ca="1">IFERROR(__xludf.DUMMYFUNCTION("""COMPUTED_VALUE"""),10070003)</f>
        <v>10070003</v>
      </c>
      <c r="B468" s="62" t="str">
        <f ca="1">IFERROR(__xludf.DUMMYFUNCTION("""COMPUTED_VALUE"""),"11 pro max Glass ")</f>
        <v xml:space="preserve">11 pro max Glass </v>
      </c>
      <c r="C468" s="75">
        <f ca="1">IFERROR(__xludf.DUMMYFUNCTION("""COMPUTED_VALUE"""),25)</f>
        <v>25</v>
      </c>
      <c r="D468" s="75">
        <f ca="1">IFERROR(__xludf.DUMMYFUNCTION("""COMPUTED_VALUE"""),0)</f>
        <v>0</v>
      </c>
      <c r="E468" s="76">
        <f ca="1">IFERROR(__xludf.DUMMYFUNCTION("""COMPUTED_VALUE"""),25)</f>
        <v>25</v>
      </c>
      <c r="F468" s="77">
        <f ca="1">IFERROR(__xludf.DUMMYFUNCTION("""COMPUTED_VALUE"""),10070003)</f>
        <v>10070003</v>
      </c>
      <c r="G468" s="77" t="str">
        <f t="shared" ca="1" si="1"/>
        <v>si</v>
      </c>
    </row>
    <row r="469" spans="1:7" ht="12.75" x14ac:dyDescent="0.2">
      <c r="A469" s="62">
        <f ca="1">IFERROR(__xludf.DUMMYFUNCTION("""COMPUTED_VALUE"""),10010003)</f>
        <v>10010003</v>
      </c>
      <c r="B469" s="62" t="str">
        <f ca="1">IFERROR(__xludf.DUMMYFUNCTION("""COMPUTED_VALUE"""),"LCD IPAD 2")</f>
        <v>LCD IPAD 2</v>
      </c>
      <c r="C469" s="75">
        <f ca="1">IFERROR(__xludf.DUMMYFUNCTION("""COMPUTED_VALUE"""),140)</f>
        <v>140</v>
      </c>
      <c r="D469" s="75">
        <f ca="1">IFERROR(__xludf.DUMMYFUNCTION("""COMPUTED_VALUE"""),0)</f>
        <v>0</v>
      </c>
      <c r="E469" s="76">
        <f ca="1">IFERROR(__xludf.DUMMYFUNCTION("""COMPUTED_VALUE"""),140)</f>
        <v>140</v>
      </c>
      <c r="F469" s="77">
        <f ca="1">IFERROR(__xludf.DUMMYFUNCTION("""COMPUTED_VALUE"""),10010003)</f>
        <v>10010003</v>
      </c>
      <c r="G469" s="77" t="str">
        <f t="shared" ca="1" si="1"/>
        <v>si</v>
      </c>
    </row>
    <row r="470" spans="1:7" ht="12.75" x14ac:dyDescent="0.2">
      <c r="A470" s="62">
        <f ca="1">IFERROR(__xludf.DUMMYFUNCTION("""COMPUTED_VALUE"""),10010005)</f>
        <v>10010005</v>
      </c>
      <c r="B470" s="62" t="str">
        <f ca="1">IFERROR(__xludf.DUMMYFUNCTION("""COMPUTED_VALUE"""),"LCD IPAD 3 / 4")</f>
        <v>LCD IPAD 3 / 4</v>
      </c>
      <c r="C470" s="75">
        <f ca="1">IFERROR(__xludf.DUMMYFUNCTION("""COMPUTED_VALUE"""),160)</f>
        <v>160</v>
      </c>
      <c r="D470" s="75">
        <f ca="1">IFERROR(__xludf.DUMMYFUNCTION("""COMPUTED_VALUE"""),0)</f>
        <v>0</v>
      </c>
      <c r="E470" s="76">
        <f ca="1">IFERROR(__xludf.DUMMYFUNCTION("""COMPUTED_VALUE"""),160)</f>
        <v>160</v>
      </c>
      <c r="F470" s="77">
        <f ca="1">IFERROR(__xludf.DUMMYFUNCTION("""COMPUTED_VALUE"""),10010005)</f>
        <v>10010005</v>
      </c>
      <c r="G470" s="77" t="str">
        <f t="shared" ca="1" si="1"/>
        <v>si</v>
      </c>
    </row>
    <row r="471" spans="1:7" ht="12.75" x14ac:dyDescent="0.2">
      <c r="A471" s="62">
        <f ca="1">IFERROR(__xludf.DUMMYFUNCTION("""COMPUTED_VALUE"""),10010007)</f>
        <v>10010007</v>
      </c>
      <c r="B471" s="62" t="str">
        <f ca="1">IFERROR(__xludf.DUMMYFUNCTION("""COMPUTED_VALUE"""),"LCD IPAD AIR / ipad 6 / LCD IPAD 2017/IPAD 2018")</f>
        <v>LCD IPAD AIR / ipad 6 / LCD IPAD 2017/IPAD 2018</v>
      </c>
      <c r="C471" s="75">
        <f ca="1">IFERROR(__xludf.DUMMYFUNCTION("""COMPUTED_VALUE"""),280)</f>
        <v>280</v>
      </c>
      <c r="D471" s="75">
        <f ca="1">IFERROR(__xludf.DUMMYFUNCTION("""COMPUTED_VALUE"""),0)</f>
        <v>0</v>
      </c>
      <c r="E471" s="76">
        <f ca="1">IFERROR(__xludf.DUMMYFUNCTION("""COMPUTED_VALUE"""),280)</f>
        <v>280</v>
      </c>
      <c r="F471" s="77">
        <f ca="1">IFERROR(__xludf.DUMMYFUNCTION("""COMPUTED_VALUE"""),10010007)</f>
        <v>10010007</v>
      </c>
      <c r="G471" s="77" t="str">
        <f t="shared" ca="1" si="1"/>
        <v>si</v>
      </c>
    </row>
    <row r="472" spans="1:7" ht="12.75" x14ac:dyDescent="0.2">
      <c r="A472" s="62">
        <f ca="1">IFERROR(__xludf.DUMMYFUNCTION("""COMPUTED_VALUE"""),10010002)</f>
        <v>10010002</v>
      </c>
      <c r="B472" s="62" t="str">
        <f ca="1">IFERROR(__xludf.DUMMYFUNCTION("""COMPUTED_VALUE"""),"IPAD AIR 2 / IPAD  Tactil + LCD")</f>
        <v>IPAD AIR 2 / IPAD  Tactil + LCD</v>
      </c>
      <c r="C472" s="75">
        <f ca="1">IFERROR(__xludf.DUMMYFUNCTION("""COMPUTED_VALUE"""),400)</f>
        <v>400</v>
      </c>
      <c r="D472" s="75">
        <f ca="1">IFERROR(__xludf.DUMMYFUNCTION("""COMPUTED_VALUE"""),40)</f>
        <v>40</v>
      </c>
      <c r="E472" s="76">
        <f ca="1">IFERROR(__xludf.DUMMYFUNCTION("""COMPUTED_VALUE"""),440)</f>
        <v>440</v>
      </c>
      <c r="F472" s="77">
        <f ca="1">IFERROR(__xludf.DUMMYFUNCTION("""COMPUTED_VALUE"""),10010002)</f>
        <v>10010002</v>
      </c>
      <c r="G472" s="77" t="str">
        <f t="shared" ca="1" si="1"/>
        <v>si</v>
      </c>
    </row>
    <row r="473" spans="1:7" ht="12.75" x14ac:dyDescent="0.2">
      <c r="A473" s="62">
        <f ca="1">IFERROR(__xludf.DUMMYFUNCTION("""COMPUTED_VALUE"""),10010009)</f>
        <v>10010009</v>
      </c>
      <c r="B473" s="62" t="str">
        <f ca="1">IFERROR(__xludf.DUMMYFUNCTION("""COMPUTED_VALUE"""),"LCD IPAD MINI")</f>
        <v>LCD IPAD MINI</v>
      </c>
      <c r="C473" s="75">
        <f ca="1">IFERROR(__xludf.DUMMYFUNCTION("""COMPUTED_VALUE"""),190)</f>
        <v>190</v>
      </c>
      <c r="D473" s="75">
        <f ca="1">IFERROR(__xludf.DUMMYFUNCTION("""COMPUTED_VALUE"""),0)</f>
        <v>0</v>
      </c>
      <c r="E473" s="76">
        <f ca="1">IFERROR(__xludf.DUMMYFUNCTION("""COMPUTED_VALUE"""),190)</f>
        <v>190</v>
      </c>
      <c r="F473" s="77">
        <f ca="1">IFERROR(__xludf.DUMMYFUNCTION("""COMPUTED_VALUE"""),10010009)</f>
        <v>10010009</v>
      </c>
      <c r="G473" s="77" t="str">
        <f t="shared" ca="1" si="1"/>
        <v>si</v>
      </c>
    </row>
    <row r="474" spans="1:7" ht="12.75" x14ac:dyDescent="0.2">
      <c r="A474" s="62">
        <f ca="1">IFERROR(__xludf.DUMMYFUNCTION("""COMPUTED_VALUE"""),10010010)</f>
        <v>10010010</v>
      </c>
      <c r="B474" s="62" t="str">
        <f ca="1">IFERROR(__xludf.DUMMYFUNCTION("""COMPUTED_VALUE"""),"LCD IPAD MINI 2 / 3")</f>
        <v>LCD IPAD MINI 2 / 3</v>
      </c>
      <c r="C474" s="75">
        <f ca="1">IFERROR(__xludf.DUMMYFUNCTION("""COMPUTED_VALUE"""),230)</f>
        <v>230</v>
      </c>
      <c r="D474" s="75">
        <f ca="1">IFERROR(__xludf.DUMMYFUNCTION("""COMPUTED_VALUE"""),0)</f>
        <v>0</v>
      </c>
      <c r="E474" s="76">
        <f ca="1">IFERROR(__xludf.DUMMYFUNCTION("""COMPUTED_VALUE"""),230)</f>
        <v>230</v>
      </c>
      <c r="F474" s="77">
        <f ca="1">IFERROR(__xludf.DUMMYFUNCTION("""COMPUTED_VALUE"""),10010010)</f>
        <v>10010010</v>
      </c>
      <c r="G474" s="77" t="str">
        <f t="shared" ca="1" si="1"/>
        <v>si</v>
      </c>
    </row>
    <row r="475" spans="1:7" ht="12.75" x14ac:dyDescent="0.2">
      <c r="A475" s="62">
        <f ca="1">IFERROR(__xludf.DUMMYFUNCTION("""COMPUTED_VALUE"""),10010004)</f>
        <v>10010004</v>
      </c>
      <c r="B475" s="62"/>
      <c r="C475" s="75">
        <f ca="1">IFERROR(__xludf.DUMMYFUNCTION("""COMPUTED_VALUE"""),0)</f>
        <v>0</v>
      </c>
      <c r="D475" s="75">
        <f ca="1">IFERROR(__xludf.DUMMYFUNCTION("""COMPUTED_VALUE"""),0)</f>
        <v>0</v>
      </c>
      <c r="E475" s="76">
        <f ca="1">IFERROR(__xludf.DUMMYFUNCTION("""COMPUTED_VALUE"""),0)</f>
        <v>0</v>
      </c>
      <c r="F475" s="77">
        <f ca="1">IFERROR(__xludf.DUMMYFUNCTION("""COMPUTED_VALUE"""),10010004)</f>
        <v>10010004</v>
      </c>
      <c r="G475" s="77" t="str">
        <f t="shared" ca="1" si="1"/>
        <v>si</v>
      </c>
    </row>
    <row r="476" spans="1:7" ht="12.75" x14ac:dyDescent="0.2">
      <c r="A476" s="62">
        <f ca="1">IFERROR(__xludf.DUMMYFUNCTION("""COMPUTED_VALUE"""),10160012)</f>
        <v>10160012</v>
      </c>
      <c r="B476" s="62" t="str">
        <f ca="1">IFERROR(__xludf.DUMMYFUNCTION("""COMPUTED_VALUE"""),"LCD IPAD 7 / 8 10.2")</f>
        <v>LCD IPAD 7 / 8 10.2</v>
      </c>
      <c r="C476" s="75">
        <f ca="1">IFERROR(__xludf.DUMMYFUNCTION("""COMPUTED_VALUE"""),290)</f>
        <v>290</v>
      </c>
      <c r="D476" s="75">
        <f ca="1">IFERROR(__xludf.DUMMYFUNCTION("""COMPUTED_VALUE"""),50)</f>
        <v>50</v>
      </c>
      <c r="E476" s="76">
        <f ca="1">IFERROR(__xludf.DUMMYFUNCTION("""COMPUTED_VALUE"""),340)</f>
        <v>340</v>
      </c>
      <c r="F476" s="77">
        <f ca="1">IFERROR(__xludf.DUMMYFUNCTION("""COMPUTED_VALUE"""),10160012)</f>
        <v>10160012</v>
      </c>
      <c r="G476" s="77" t="str">
        <f t="shared" ca="1" si="1"/>
        <v>si</v>
      </c>
    </row>
    <row r="477" spans="1:7" ht="12.75" x14ac:dyDescent="0.2">
      <c r="A477" s="62">
        <f ca="1">IFERROR(__xludf.DUMMYFUNCTION("""COMPUTED_VALUE"""),10010011)</f>
        <v>10010011</v>
      </c>
      <c r="B477" s="62" t="str">
        <f ca="1">IFERROR(__xludf.DUMMYFUNCTION("""COMPUTED_VALUE"""),"LCD IPAD MINI 4 + Tactil")</f>
        <v>LCD IPAD MINI 4 + Tactil</v>
      </c>
      <c r="C477" s="75">
        <f ca="1">IFERROR(__xludf.DUMMYFUNCTION("""COMPUTED_VALUE"""),290)</f>
        <v>290</v>
      </c>
      <c r="D477" s="75">
        <f ca="1">IFERROR(__xludf.DUMMYFUNCTION("""COMPUTED_VALUE"""),100)</f>
        <v>100</v>
      </c>
      <c r="E477" s="76">
        <f ca="1">IFERROR(__xludf.DUMMYFUNCTION("""COMPUTED_VALUE"""),390)</f>
        <v>390</v>
      </c>
      <c r="F477" s="77">
        <f ca="1">IFERROR(__xludf.DUMMYFUNCTION("""COMPUTED_VALUE"""),10010011)</f>
        <v>10010011</v>
      </c>
      <c r="G477" s="77" t="str">
        <f t="shared" ca="1" si="1"/>
        <v>si</v>
      </c>
    </row>
    <row r="478" spans="1:7" ht="12.75" x14ac:dyDescent="0.2">
      <c r="A478" s="62">
        <f ca="1">IFERROR(__xludf.DUMMYFUNCTION("""COMPUTED_VALUE"""),10010012)</f>
        <v>10010012</v>
      </c>
      <c r="B478" s="62" t="str">
        <f ca="1">IFERROR(__xludf.DUMMYFUNCTION("""COMPUTED_VALUE"""),"LCD IPAD MINI 5 + tactil")</f>
        <v>LCD IPAD MINI 5 + tactil</v>
      </c>
      <c r="C478" s="75">
        <f ca="1">IFERROR(__xludf.DUMMYFUNCTION("""COMPUTED_VALUE"""),340)</f>
        <v>340</v>
      </c>
      <c r="D478" s="75">
        <f ca="1">IFERROR(__xludf.DUMMYFUNCTION("""COMPUTED_VALUE"""),100)</f>
        <v>100</v>
      </c>
      <c r="E478" s="76">
        <f ca="1">IFERROR(__xludf.DUMMYFUNCTION("""COMPUTED_VALUE"""),440)</f>
        <v>440</v>
      </c>
      <c r="F478" s="77">
        <f ca="1">IFERROR(__xludf.DUMMYFUNCTION("""COMPUTED_VALUE"""),10010012)</f>
        <v>10010012</v>
      </c>
      <c r="G478" s="77" t="str">
        <f t="shared" ca="1" si="1"/>
        <v>si</v>
      </c>
    </row>
    <row r="479" spans="1:7" ht="12.75" x14ac:dyDescent="0.2">
      <c r="A479" s="62">
        <f ca="1">IFERROR(__xludf.DUMMYFUNCTION("""COMPUTED_VALUE"""),10160216)</f>
        <v>10160216</v>
      </c>
      <c r="B479" s="62" t="str">
        <f ca="1">IFERROR(__xludf.DUMMYFUNCTION("""COMPUTED_VALUE"""),"LCD IPAD MINI 6 + tactil")</f>
        <v>LCD IPAD MINI 6 + tactil</v>
      </c>
      <c r="C479" s="75">
        <f ca="1">IFERROR(__xludf.DUMMYFUNCTION("""COMPUTED_VALUE"""),990)</f>
        <v>990</v>
      </c>
      <c r="D479" s="75">
        <f ca="1">IFERROR(__xludf.DUMMYFUNCTION("""COMPUTED_VALUE"""),0)</f>
        <v>0</v>
      </c>
      <c r="E479" s="76">
        <f ca="1">IFERROR(__xludf.DUMMYFUNCTION("""COMPUTED_VALUE"""),990)</f>
        <v>990</v>
      </c>
      <c r="F479" s="77">
        <f ca="1">IFERROR(__xludf.DUMMYFUNCTION("""COMPUTED_VALUE"""),10160216)</f>
        <v>10160216</v>
      </c>
      <c r="G479" s="77" t="str">
        <f t="shared" ca="1" si="1"/>
        <v>si</v>
      </c>
    </row>
    <row r="480" spans="1:7" ht="12.75" x14ac:dyDescent="0.2">
      <c r="A480" s="62">
        <f ca="1">IFERROR(__xludf.DUMMYFUNCTION("""COMPUTED_VALUE"""),10010008)</f>
        <v>10010008</v>
      </c>
      <c r="B480" s="62" t="str">
        <f ca="1">IFERROR(__xludf.DUMMYFUNCTION("""COMPUTED_VALUE"""),"LCD IPAD Air 2019 - IPAD Air 3 + Tactil")</f>
        <v>LCD IPAD Air 2019 - IPAD Air 3 + Tactil</v>
      </c>
      <c r="C480" s="75">
        <f ca="1">IFERROR(__xludf.DUMMYFUNCTION("""COMPUTED_VALUE"""),490)</f>
        <v>490</v>
      </c>
      <c r="D480" s="75">
        <f ca="1">IFERROR(__xludf.DUMMYFUNCTION("""COMPUTED_VALUE"""),100)</f>
        <v>100</v>
      </c>
      <c r="E480" s="76">
        <f ca="1">IFERROR(__xludf.DUMMYFUNCTION("""COMPUTED_VALUE"""),590)</f>
        <v>590</v>
      </c>
      <c r="F480" s="77">
        <f ca="1">IFERROR(__xludf.DUMMYFUNCTION("""COMPUTED_VALUE"""),10010008)</f>
        <v>10010008</v>
      </c>
      <c r="G480" s="77" t="str">
        <f t="shared" ca="1" si="1"/>
        <v>si</v>
      </c>
    </row>
    <row r="481" spans="1:7" ht="12.75" x14ac:dyDescent="0.2">
      <c r="A481" s="62">
        <f ca="1">IFERROR(__xludf.DUMMYFUNCTION("""COMPUTED_VALUE"""),10160053)</f>
        <v>10160053</v>
      </c>
      <c r="B481" s="62" t="str">
        <f ca="1">IFERROR(__xludf.DUMMYFUNCTION("""COMPUTED_VALUE"""),"LCD IPAD Air 2020 - IPAD Air 4 + Tactil")</f>
        <v>LCD IPAD Air 2020 - IPAD Air 4 + Tactil</v>
      </c>
      <c r="C481" s="75">
        <f ca="1">IFERROR(__xludf.DUMMYFUNCTION("""COMPUTED_VALUE"""),640)</f>
        <v>640</v>
      </c>
      <c r="D481" s="75">
        <f ca="1">IFERROR(__xludf.DUMMYFUNCTION("""COMPUTED_VALUE"""),50)</f>
        <v>50</v>
      </c>
      <c r="E481" s="76">
        <f ca="1">IFERROR(__xludf.DUMMYFUNCTION("""COMPUTED_VALUE"""),690)</f>
        <v>690</v>
      </c>
      <c r="F481" s="77">
        <f ca="1">IFERROR(__xludf.DUMMYFUNCTION("""COMPUTED_VALUE"""),10160053)</f>
        <v>10160053</v>
      </c>
      <c r="G481" s="77" t="str">
        <f t="shared" ca="1" si="1"/>
        <v>si</v>
      </c>
    </row>
    <row r="482" spans="1:7" ht="12.75" x14ac:dyDescent="0.2">
      <c r="A482" s="62">
        <f ca="1">IFERROR(__xludf.DUMMYFUNCTION("""COMPUTED_VALUE"""),10010013)</f>
        <v>10010013</v>
      </c>
      <c r="B482" s="62" t="str">
        <f ca="1">IFERROR(__xludf.DUMMYFUNCTION("""COMPUTED_VALUE"""),"LCD IPAD PRO 10.5 2017 + tactil")</f>
        <v>LCD IPAD PRO 10.5 2017 + tactil</v>
      </c>
      <c r="C482" s="75">
        <f ca="1">IFERROR(__xludf.DUMMYFUNCTION("""COMPUTED_VALUE"""),490)</f>
        <v>490</v>
      </c>
      <c r="D482" s="75">
        <f ca="1">IFERROR(__xludf.DUMMYFUNCTION("""COMPUTED_VALUE"""),50)</f>
        <v>50</v>
      </c>
      <c r="E482" s="76">
        <f ca="1">IFERROR(__xludf.DUMMYFUNCTION("""COMPUTED_VALUE"""),540)</f>
        <v>540</v>
      </c>
      <c r="F482" s="77">
        <f ca="1">IFERROR(__xludf.DUMMYFUNCTION("""COMPUTED_VALUE"""),10010013)</f>
        <v>10010013</v>
      </c>
      <c r="G482" s="77" t="str">
        <f t="shared" ca="1" si="1"/>
        <v>si</v>
      </c>
    </row>
    <row r="483" spans="1:7" ht="12.75" x14ac:dyDescent="0.2">
      <c r="A483" s="62">
        <f ca="1">IFERROR(__xludf.DUMMYFUNCTION("""COMPUTED_VALUE"""),10010014)</f>
        <v>10010014</v>
      </c>
      <c r="B483" s="62" t="str">
        <f ca="1">IFERROR(__xludf.DUMMYFUNCTION("""COMPUTED_VALUE"""),"LCD IPAD PRO 11 1ra Generacion 2018/ 2da Genracion 2020 + Tactil")</f>
        <v>LCD IPAD PRO 11 1ra Generacion 2018/ 2da Genracion 2020 + Tactil</v>
      </c>
      <c r="C483" s="75">
        <f ca="1">IFERROR(__xludf.DUMMYFUNCTION("""COMPUTED_VALUE"""),640)</f>
        <v>640</v>
      </c>
      <c r="D483" s="75">
        <f ca="1">IFERROR(__xludf.DUMMYFUNCTION("""COMPUTED_VALUE"""),50)</f>
        <v>50</v>
      </c>
      <c r="E483" s="76">
        <f ca="1">IFERROR(__xludf.DUMMYFUNCTION("""COMPUTED_VALUE"""),690)</f>
        <v>690</v>
      </c>
      <c r="F483" s="77">
        <f ca="1">IFERROR(__xludf.DUMMYFUNCTION("""COMPUTED_VALUE"""),10010014)</f>
        <v>10010014</v>
      </c>
      <c r="G483" s="77" t="str">
        <f t="shared" ca="1" si="1"/>
        <v>si</v>
      </c>
    </row>
    <row r="484" spans="1:7" ht="12.75" x14ac:dyDescent="0.2">
      <c r="A484" s="62">
        <f ca="1">IFERROR(__xludf.DUMMYFUNCTION("""COMPUTED_VALUE"""),10010018)</f>
        <v>10010018</v>
      </c>
      <c r="B484" s="62" t="str">
        <f ca="1">IFERROR(__xludf.DUMMYFUNCTION("""COMPUTED_VALUE"""),"LCD IPAD PRO 9.7 + Tactil")</f>
        <v>LCD IPAD PRO 9.7 + Tactil</v>
      </c>
      <c r="C484" s="75">
        <f ca="1">IFERROR(__xludf.DUMMYFUNCTION("""COMPUTED_VALUE"""),490)</f>
        <v>490</v>
      </c>
      <c r="D484" s="75">
        <f ca="1">IFERROR(__xludf.DUMMYFUNCTION("""COMPUTED_VALUE"""),100)</f>
        <v>100</v>
      </c>
      <c r="E484" s="76">
        <f ca="1">IFERROR(__xludf.DUMMYFUNCTION("""COMPUTED_VALUE"""),590)</f>
        <v>590</v>
      </c>
      <c r="F484" s="77">
        <f ca="1">IFERROR(__xludf.DUMMYFUNCTION("""COMPUTED_VALUE"""),10010018)</f>
        <v>10010018</v>
      </c>
      <c r="G484" s="77" t="str">
        <f t="shared" ca="1" si="1"/>
        <v>si</v>
      </c>
    </row>
    <row r="485" spans="1:7" ht="12.75" x14ac:dyDescent="0.2">
      <c r="A485" s="62">
        <f ca="1">IFERROR(__xludf.DUMMYFUNCTION("""COMPUTED_VALUE"""),10010016)</f>
        <v>10010016</v>
      </c>
      <c r="B485" s="62" t="str">
        <f ca="1">IFERROR(__xludf.DUMMYFUNCTION("""COMPUTED_VALUE"""),"LCD IPAD PRO 12.9 2nd (2017) + Tactil")</f>
        <v>LCD IPAD PRO 12.9 2nd (2017) + Tactil</v>
      </c>
      <c r="C485" s="75">
        <f ca="1">IFERROR(__xludf.DUMMYFUNCTION("""COMPUTED_VALUE"""),1300)</f>
        <v>1300</v>
      </c>
      <c r="D485" s="75">
        <f ca="1">IFERROR(__xludf.DUMMYFUNCTION("""COMPUTED_VALUE"""),90)</f>
        <v>90</v>
      </c>
      <c r="E485" s="76">
        <f ca="1">IFERROR(__xludf.DUMMYFUNCTION("""COMPUTED_VALUE"""),1390)</f>
        <v>1390</v>
      </c>
      <c r="F485" s="77">
        <f ca="1">IFERROR(__xludf.DUMMYFUNCTION("""COMPUTED_VALUE"""),10010016)</f>
        <v>10010016</v>
      </c>
      <c r="G485" s="77" t="str">
        <f t="shared" ca="1" si="1"/>
        <v>si</v>
      </c>
    </row>
    <row r="486" spans="1:7" ht="12.75" x14ac:dyDescent="0.2">
      <c r="A486" s="62">
        <f ca="1">IFERROR(__xludf.DUMMYFUNCTION("""COMPUTED_VALUE"""),10010017)</f>
        <v>10010017</v>
      </c>
      <c r="B486" s="62" t="str">
        <f ca="1">IFERROR(__xludf.DUMMYFUNCTION("""COMPUTED_VALUE"""),"LCD IPAD PRO 12.9 3nd (2018) + tactil / 12.9 4ta (2020) ")</f>
        <v xml:space="preserve">LCD IPAD PRO 12.9 3nd (2018) + tactil / 12.9 4ta (2020) </v>
      </c>
      <c r="C486" s="75">
        <f ca="1">IFERROR(__xludf.DUMMYFUNCTION("""COMPUTED_VALUE"""),890)</f>
        <v>890</v>
      </c>
      <c r="D486" s="62"/>
      <c r="E486" s="76">
        <f ca="1">IFERROR(__xludf.DUMMYFUNCTION("""COMPUTED_VALUE"""),890)</f>
        <v>890</v>
      </c>
      <c r="F486" s="77">
        <f ca="1">IFERROR(__xludf.DUMMYFUNCTION("""COMPUTED_VALUE"""),10010017)</f>
        <v>10010017</v>
      </c>
      <c r="G486" s="77" t="str">
        <f t="shared" ca="1" si="1"/>
        <v>si</v>
      </c>
    </row>
    <row r="487" spans="1:7" ht="12.75" x14ac:dyDescent="0.2">
      <c r="A487" s="62">
        <f ca="1">IFERROR(__xludf.DUMMYFUNCTION("""COMPUTED_VALUE"""),10010015)</f>
        <v>10010015</v>
      </c>
      <c r="B487" s="62" t="str">
        <f ca="1">IFERROR(__xludf.DUMMYFUNCTION("""COMPUTED_VALUE"""),"LCD IPAD PRO 12.9 1nd (2015) (2016)+ Tactil")</f>
        <v>LCD IPAD PRO 12.9 1nd (2015) (2016)+ Tactil</v>
      </c>
      <c r="C487" s="75">
        <f ca="1">IFERROR(__xludf.DUMMYFUNCTION("""COMPUTED_VALUE"""),790)</f>
        <v>790</v>
      </c>
      <c r="D487" s="75">
        <f ca="1">IFERROR(__xludf.DUMMYFUNCTION("""COMPUTED_VALUE"""),0)</f>
        <v>0</v>
      </c>
      <c r="E487" s="76">
        <f ca="1">IFERROR(__xludf.DUMMYFUNCTION("""COMPUTED_VALUE"""),790)</f>
        <v>790</v>
      </c>
      <c r="F487" s="77">
        <f ca="1">IFERROR(__xludf.DUMMYFUNCTION("""COMPUTED_VALUE"""),10010015)</f>
        <v>10010015</v>
      </c>
      <c r="G487" s="77" t="str">
        <f t="shared" ca="1" si="1"/>
        <v>si</v>
      </c>
    </row>
    <row r="488" spans="1:7" ht="12.75" x14ac:dyDescent="0.2">
      <c r="A488" s="62">
        <f ca="1">IFERROR(__xludf.DUMMYFUNCTION("""COMPUTED_VALUE"""),10160013)</f>
        <v>10160013</v>
      </c>
      <c r="B488" s="62"/>
      <c r="C488" s="62"/>
      <c r="D488" s="75">
        <f ca="1">IFERROR(__xludf.DUMMYFUNCTION("""COMPUTED_VALUE"""),0)</f>
        <v>0</v>
      </c>
      <c r="E488" s="76">
        <f ca="1">IFERROR(__xludf.DUMMYFUNCTION("""COMPUTED_VALUE"""),0)</f>
        <v>0</v>
      </c>
      <c r="F488" s="77">
        <f ca="1">IFERROR(__xludf.DUMMYFUNCTION("""COMPUTED_VALUE"""),10160013)</f>
        <v>10160013</v>
      </c>
      <c r="G488" s="77" t="str">
        <f t="shared" ca="1" si="1"/>
        <v>si</v>
      </c>
    </row>
    <row r="489" spans="1:7" ht="12.75" x14ac:dyDescent="0.2">
      <c r="A489" s="62">
        <f ca="1">IFERROR(__xludf.DUMMYFUNCTION("""COMPUTED_VALUE"""),10010428)</f>
        <v>10010428</v>
      </c>
      <c r="B489" s="62" t="str">
        <f ca="1">IFERROR(__xludf.DUMMYFUNCTION("""COMPUTED_VALUE"""),"LCD IPAD PRO 12.9 5ta (2021)+ Tactil")</f>
        <v>LCD IPAD PRO 12.9 5ta (2021)+ Tactil</v>
      </c>
      <c r="C489" s="75">
        <f ca="1">IFERROR(__xludf.DUMMYFUNCTION("""COMPUTED_VALUE"""),2090)</f>
        <v>2090</v>
      </c>
      <c r="D489" s="75">
        <f ca="1">IFERROR(__xludf.DUMMYFUNCTION("""COMPUTED_VALUE"""),0)</f>
        <v>0</v>
      </c>
      <c r="E489" s="76">
        <f ca="1">IFERROR(__xludf.DUMMYFUNCTION("""COMPUTED_VALUE"""),2090)</f>
        <v>2090</v>
      </c>
      <c r="F489" s="77">
        <f ca="1">IFERROR(__xludf.DUMMYFUNCTION("""COMPUTED_VALUE"""),10010428)</f>
        <v>10010428</v>
      </c>
      <c r="G489" s="77" t="str">
        <f t="shared" ca="1" si="1"/>
        <v>si</v>
      </c>
    </row>
    <row r="490" spans="1:7" ht="12.75" x14ac:dyDescent="0.2">
      <c r="A490" s="62">
        <f ca="1">IFERROR(__xludf.DUMMYFUNCTION("""COMPUTED_VALUE"""),10010427)</f>
        <v>10010427</v>
      </c>
      <c r="B490" s="62" t="str">
        <f ca="1">IFERROR(__xludf.DUMMYFUNCTION("""COMPUTED_VALUE"""),"LCD IPAD PRO 11 3ra (2021)+ Tactil")</f>
        <v>LCD IPAD PRO 11 3ra (2021)+ Tactil</v>
      </c>
      <c r="C490" s="75">
        <f ca="1">IFERROR(__xludf.DUMMYFUNCTION("""COMPUTED_VALUE"""),740)</f>
        <v>740</v>
      </c>
      <c r="D490" s="75">
        <f ca="1">IFERROR(__xludf.DUMMYFUNCTION("""COMPUTED_VALUE"""),50)</f>
        <v>50</v>
      </c>
      <c r="E490" s="76">
        <f ca="1">IFERROR(__xludf.DUMMYFUNCTION("""COMPUTED_VALUE"""),790)</f>
        <v>790</v>
      </c>
      <c r="F490" s="77">
        <f ca="1">IFERROR(__xludf.DUMMYFUNCTION("""COMPUTED_VALUE"""),10010427)</f>
        <v>10010427</v>
      </c>
      <c r="G490" s="77" t="str">
        <f t="shared" ca="1" si="1"/>
        <v>si</v>
      </c>
    </row>
    <row r="491" spans="1:7" ht="12.75" x14ac:dyDescent="0.2">
      <c r="A491" s="62">
        <f ca="1">IFERROR(__xludf.DUMMYFUNCTION("""COMPUTED_VALUE"""),20030003)</f>
        <v>20030003</v>
      </c>
      <c r="B491" s="62" t="str">
        <f ca="1">IFERROR(__xludf.DUMMYFUNCTION("""COMPUTED_VALUE"""),"DDR3 1333mhz 4gb /  8gb PC (Icolax)")</f>
        <v>DDR3 1333mhz 4gb /  8gb PC (Icolax)</v>
      </c>
      <c r="C491" s="75">
        <f ca="1">IFERROR(__xludf.DUMMYFUNCTION("""COMPUTED_VALUE"""),140)</f>
        <v>140</v>
      </c>
      <c r="D491" s="75">
        <f ca="1">IFERROR(__xludf.DUMMYFUNCTION("""COMPUTED_VALUE"""),0)</f>
        <v>0</v>
      </c>
      <c r="E491" s="76">
        <f ca="1">IFERROR(__xludf.DUMMYFUNCTION("""COMPUTED_VALUE"""),140)</f>
        <v>140</v>
      </c>
      <c r="F491" s="77">
        <f ca="1">IFERROR(__xludf.DUMMYFUNCTION("""COMPUTED_VALUE"""),20030003)</f>
        <v>20030003</v>
      </c>
      <c r="G491" s="77" t="str">
        <f t="shared" ca="1" si="1"/>
        <v>si</v>
      </c>
    </row>
    <row r="492" spans="1:7" ht="12.75" x14ac:dyDescent="0.2">
      <c r="A492" s="62">
        <f ca="1">IFERROR(__xludf.DUMMYFUNCTION("""COMPUTED_VALUE"""),20030006)</f>
        <v>20030006</v>
      </c>
      <c r="B492" s="62" t="str">
        <f ca="1">IFERROR(__xludf.DUMMYFUNCTION("""COMPUTED_VALUE"""),"DDR3 1600mhz 8gb PC (Icolax)")</f>
        <v>DDR3 1600mhz 8gb PC (Icolax)</v>
      </c>
      <c r="C492" s="75">
        <f ca="1">IFERROR(__xludf.DUMMYFUNCTION("""COMPUTED_VALUE"""),140)</f>
        <v>140</v>
      </c>
      <c r="D492" s="75">
        <f ca="1">IFERROR(__xludf.DUMMYFUNCTION("""COMPUTED_VALUE"""),0)</f>
        <v>0</v>
      </c>
      <c r="E492" s="76">
        <f ca="1">IFERROR(__xludf.DUMMYFUNCTION("""COMPUTED_VALUE"""),140)</f>
        <v>140</v>
      </c>
      <c r="F492" s="77">
        <f ca="1">IFERROR(__xludf.DUMMYFUNCTION("""COMPUTED_VALUE"""),20030006)</f>
        <v>20030006</v>
      </c>
      <c r="G492" s="77" t="str">
        <f t="shared" ca="1" si="1"/>
        <v>si</v>
      </c>
    </row>
    <row r="493" spans="1:7" ht="12.75" x14ac:dyDescent="0.2">
      <c r="A493" s="62">
        <f ca="1">IFERROR(__xludf.DUMMYFUNCTION("""COMPUTED_VALUE"""),20030010)</f>
        <v>20030010</v>
      </c>
      <c r="B493" s="62" t="str">
        <f ca="1">IFERROR(__xludf.DUMMYFUNCTION("""COMPUTED_VALUE"""),"DDR4 2400mhz 4gb  PC (Icolax)")</f>
        <v>DDR4 2400mhz 4gb  PC (Icolax)</v>
      </c>
      <c r="C493" s="75">
        <f ca="1">IFERROR(__xludf.DUMMYFUNCTION("""COMPUTED_VALUE"""),110)</f>
        <v>110</v>
      </c>
      <c r="D493" s="75">
        <f ca="1">IFERROR(__xludf.DUMMYFUNCTION("""COMPUTED_VALUE"""),0)</f>
        <v>0</v>
      </c>
      <c r="E493" s="76">
        <f ca="1">IFERROR(__xludf.DUMMYFUNCTION("""COMPUTED_VALUE"""),110)</f>
        <v>110</v>
      </c>
      <c r="F493" s="77">
        <f ca="1">IFERROR(__xludf.DUMMYFUNCTION("""COMPUTED_VALUE"""),20030010)</f>
        <v>20030010</v>
      </c>
      <c r="G493" s="77" t="str">
        <f t="shared" ca="1" si="1"/>
        <v>si</v>
      </c>
    </row>
    <row r="494" spans="1:7" ht="12.75" x14ac:dyDescent="0.2">
      <c r="A494" s="62">
        <f ca="1">IFERROR(__xludf.DUMMYFUNCTION("""COMPUTED_VALUE"""),20030013)</f>
        <v>20030013</v>
      </c>
      <c r="B494" s="62" t="str">
        <f ca="1">IFERROR(__xludf.DUMMYFUNCTION("""COMPUTED_VALUE"""),"DDR4 2400mhz 8gb PC (Icolax)")</f>
        <v>DDR4 2400mhz 8gb PC (Icolax)</v>
      </c>
      <c r="C494" s="75">
        <f ca="1">IFERROR(__xludf.DUMMYFUNCTION("""COMPUTED_VALUE"""),150)</f>
        <v>150</v>
      </c>
      <c r="D494" s="75">
        <f ca="1">IFERROR(__xludf.DUMMYFUNCTION("""COMPUTED_VALUE"""),0)</f>
        <v>0</v>
      </c>
      <c r="E494" s="76">
        <f ca="1">IFERROR(__xludf.DUMMYFUNCTION("""COMPUTED_VALUE"""),150)</f>
        <v>150</v>
      </c>
      <c r="F494" s="77">
        <f ca="1">IFERROR(__xludf.DUMMYFUNCTION("""COMPUTED_VALUE"""),20030013)</f>
        <v>20030013</v>
      </c>
      <c r="G494" s="77" t="str">
        <f t="shared" ca="1" si="1"/>
        <v>si</v>
      </c>
    </row>
    <row r="495" spans="1:7" ht="12.75" x14ac:dyDescent="0.2">
      <c r="A495" s="62">
        <f ca="1">IFERROR(__xludf.DUMMYFUNCTION("""COMPUTED_VALUE"""),20030009)</f>
        <v>20030009</v>
      </c>
      <c r="B495" s="62" t="str">
        <f ca="1">IFERROR(__xludf.DUMMYFUNCTION("""COMPUTED_VALUE"""),"DDR4 2400mhz 16gb PC (Icolax)")</f>
        <v>DDR4 2400mhz 16gb PC (Icolax)</v>
      </c>
      <c r="C495" s="75">
        <f ca="1">IFERROR(__xludf.DUMMYFUNCTION("""COMPUTED_VALUE"""),310)</f>
        <v>310</v>
      </c>
      <c r="D495" s="75">
        <f ca="1">IFERROR(__xludf.DUMMYFUNCTION("""COMPUTED_VALUE"""),0)</f>
        <v>0</v>
      </c>
      <c r="E495" s="76">
        <f ca="1">IFERROR(__xludf.DUMMYFUNCTION("""COMPUTED_VALUE"""),310)</f>
        <v>310</v>
      </c>
      <c r="F495" s="77">
        <f ca="1">IFERROR(__xludf.DUMMYFUNCTION("""COMPUTED_VALUE"""),20030009)</f>
        <v>20030009</v>
      </c>
      <c r="G495" s="77" t="str">
        <f t="shared" ca="1" si="1"/>
        <v>si</v>
      </c>
    </row>
    <row r="496" spans="1:7" ht="12.75" x14ac:dyDescent="0.2">
      <c r="A496" s="62">
        <f ca="1">IFERROR(__xludf.DUMMYFUNCTION("""COMPUTED_VALUE"""),20030001)</f>
        <v>20030001</v>
      </c>
      <c r="B496" s="62" t="str">
        <f ca="1">IFERROR(__xludf.DUMMYFUNCTION("""COMPUTED_VALUE"""),"DDR3 1333mhz 4gb  (Icolax)")</f>
        <v>DDR3 1333mhz 4gb  (Icolax)</v>
      </c>
      <c r="C496" s="75">
        <f ca="1">IFERROR(__xludf.DUMMYFUNCTION("""COMPUTED_VALUE"""),100)</f>
        <v>100</v>
      </c>
      <c r="D496" s="75">
        <f ca="1">IFERROR(__xludf.DUMMYFUNCTION("""COMPUTED_VALUE"""),0)</f>
        <v>0</v>
      </c>
      <c r="E496" s="76">
        <f ca="1">IFERROR(__xludf.DUMMYFUNCTION("""COMPUTED_VALUE"""),100)</f>
        <v>100</v>
      </c>
      <c r="F496" s="77">
        <f ca="1">IFERROR(__xludf.DUMMYFUNCTION("""COMPUTED_VALUE"""),20030001)</f>
        <v>20030001</v>
      </c>
      <c r="G496" s="77" t="str">
        <f t="shared" ca="1" si="1"/>
        <v>si</v>
      </c>
    </row>
    <row r="497" spans="1:7" ht="12.75" x14ac:dyDescent="0.2">
      <c r="A497" s="62">
        <f ca="1">IFERROR(__xludf.DUMMYFUNCTION("""COMPUTED_VALUE"""),20030002)</f>
        <v>20030002</v>
      </c>
      <c r="B497" s="62" t="str">
        <f ca="1">IFERROR(__xludf.DUMMYFUNCTION("""COMPUTED_VALUE"""),"DDR3 1333mhz 8gb  (Icolax)")</f>
        <v>DDR3 1333mhz 8gb  (Icolax)</v>
      </c>
      <c r="C497" s="75">
        <f ca="1">IFERROR(__xludf.DUMMYFUNCTION("""COMPUTED_VALUE"""),160)</f>
        <v>160</v>
      </c>
      <c r="D497" s="75">
        <f ca="1">IFERROR(__xludf.DUMMYFUNCTION("""COMPUTED_VALUE"""),0)</f>
        <v>0</v>
      </c>
      <c r="E497" s="76">
        <f ca="1">IFERROR(__xludf.DUMMYFUNCTION("""COMPUTED_VALUE"""),160)</f>
        <v>160</v>
      </c>
      <c r="F497" s="77">
        <f ca="1">IFERROR(__xludf.DUMMYFUNCTION("""COMPUTED_VALUE"""),20030002)</f>
        <v>20030002</v>
      </c>
      <c r="G497" s="77" t="str">
        <f t="shared" ca="1" si="1"/>
        <v>si</v>
      </c>
    </row>
    <row r="498" spans="1:7" ht="12.75" x14ac:dyDescent="0.2">
      <c r="A498" s="62">
        <f ca="1">IFERROR(__xludf.DUMMYFUNCTION("""COMPUTED_VALUE"""),20030004)</f>
        <v>20030004</v>
      </c>
      <c r="B498" s="62" t="str">
        <f ca="1">IFERROR(__xludf.DUMMYFUNCTION("""COMPUTED_VALUE"""),"DDR3 1600mhz 4gb (Icolax)")</f>
        <v>DDR3 1600mhz 4gb (Icolax)</v>
      </c>
      <c r="C498" s="75">
        <f ca="1">IFERROR(__xludf.DUMMYFUNCTION("""COMPUTED_VALUE"""),100)</f>
        <v>100</v>
      </c>
      <c r="D498" s="75">
        <f ca="1">IFERROR(__xludf.DUMMYFUNCTION("""COMPUTED_VALUE"""),0)</f>
        <v>0</v>
      </c>
      <c r="E498" s="76">
        <f ca="1">IFERROR(__xludf.DUMMYFUNCTION("""COMPUTED_VALUE"""),100)</f>
        <v>100</v>
      </c>
      <c r="F498" s="77">
        <f ca="1">IFERROR(__xludf.DUMMYFUNCTION("""COMPUTED_VALUE"""),20030004)</f>
        <v>20030004</v>
      </c>
      <c r="G498" s="77" t="str">
        <f t="shared" ca="1" si="1"/>
        <v>si</v>
      </c>
    </row>
    <row r="499" spans="1:7" ht="12.75" x14ac:dyDescent="0.2">
      <c r="A499" s="62">
        <f ca="1">IFERROR(__xludf.DUMMYFUNCTION("""COMPUTED_VALUE"""),20030005)</f>
        <v>20030005</v>
      </c>
      <c r="B499" s="62" t="str">
        <f ca="1">IFERROR(__xludf.DUMMYFUNCTION("""COMPUTED_VALUE"""),"DDR3 1600mhz 8gb (Icolax)")</f>
        <v>DDR3 1600mhz 8gb (Icolax)</v>
      </c>
      <c r="C499" s="75">
        <f ca="1">IFERROR(__xludf.DUMMYFUNCTION("""COMPUTED_VALUE"""),160)</f>
        <v>160</v>
      </c>
      <c r="D499" s="75">
        <f ca="1">IFERROR(__xludf.DUMMYFUNCTION("""COMPUTED_VALUE"""),0)</f>
        <v>0</v>
      </c>
      <c r="E499" s="76">
        <f ca="1">IFERROR(__xludf.DUMMYFUNCTION("""COMPUTED_VALUE"""),160)</f>
        <v>160</v>
      </c>
      <c r="F499" s="77">
        <f ca="1">IFERROR(__xludf.DUMMYFUNCTION("""COMPUTED_VALUE"""),20030005)</f>
        <v>20030005</v>
      </c>
      <c r="G499" s="77" t="str">
        <f t="shared" ca="1" si="1"/>
        <v>si</v>
      </c>
    </row>
    <row r="500" spans="1:7" ht="12.75" x14ac:dyDescent="0.2">
      <c r="A500" s="62">
        <f ca="1">IFERROR(__xludf.DUMMYFUNCTION("""COMPUTED_VALUE"""),20030011)</f>
        <v>20030011</v>
      </c>
      <c r="B500" s="62" t="str">
        <f ca="1">IFERROR(__xludf.DUMMYFUNCTION("""COMPUTED_VALUE"""),"DDR4 2400mhz 4gb (Icolax)")</f>
        <v>DDR4 2400mhz 4gb (Icolax)</v>
      </c>
      <c r="C500" s="75">
        <f ca="1">IFERROR(__xludf.DUMMYFUNCTION("""COMPUTED_VALUE"""),110)</f>
        <v>110</v>
      </c>
      <c r="D500" s="75">
        <f ca="1">IFERROR(__xludf.DUMMYFUNCTION("""COMPUTED_VALUE"""),0)</f>
        <v>0</v>
      </c>
      <c r="E500" s="76">
        <f ca="1">IFERROR(__xludf.DUMMYFUNCTION("""COMPUTED_VALUE"""),110)</f>
        <v>110</v>
      </c>
      <c r="F500" s="77">
        <f ca="1">IFERROR(__xludf.DUMMYFUNCTION("""COMPUTED_VALUE"""),20030011)</f>
        <v>20030011</v>
      </c>
      <c r="G500" s="77" t="str">
        <f t="shared" ca="1" si="1"/>
        <v>si</v>
      </c>
    </row>
    <row r="501" spans="1:7" ht="12.75" x14ac:dyDescent="0.2">
      <c r="A501" s="62">
        <f ca="1">IFERROR(__xludf.DUMMYFUNCTION("""COMPUTED_VALUE"""),20030012)</f>
        <v>20030012</v>
      </c>
      <c r="B501" s="62" t="str">
        <f ca="1">IFERROR(__xludf.DUMMYFUNCTION("""COMPUTED_VALUE"""),"DDR4 2400mhz 8gb (Icolax)")</f>
        <v>DDR4 2400mhz 8gb (Icolax)</v>
      </c>
      <c r="C501" s="75">
        <f ca="1">IFERROR(__xludf.DUMMYFUNCTION("""COMPUTED_VALUE"""),170)</f>
        <v>170</v>
      </c>
      <c r="D501" s="75">
        <f ca="1">IFERROR(__xludf.DUMMYFUNCTION("""COMPUTED_VALUE"""),0)</f>
        <v>0</v>
      </c>
      <c r="E501" s="76">
        <f ca="1">IFERROR(__xludf.DUMMYFUNCTION("""COMPUTED_VALUE"""),170)</f>
        <v>170</v>
      </c>
      <c r="F501" s="77">
        <f ca="1">IFERROR(__xludf.DUMMYFUNCTION("""COMPUTED_VALUE"""),20030012)</f>
        <v>20030012</v>
      </c>
      <c r="G501" s="77" t="str">
        <f t="shared" ca="1" si="1"/>
        <v>si</v>
      </c>
    </row>
    <row r="502" spans="1:7" ht="12.75" x14ac:dyDescent="0.2">
      <c r="A502" s="62">
        <f ca="1">IFERROR(__xludf.DUMMYFUNCTION("""COMPUTED_VALUE"""),20030008)</f>
        <v>20030008</v>
      </c>
      <c r="B502" s="62" t="str">
        <f ca="1">IFERROR(__xludf.DUMMYFUNCTION("""COMPUTED_VALUE"""),"DDR4 2400mhz 16gb (Icolax)")</f>
        <v>DDR4 2400mhz 16gb (Icolax)</v>
      </c>
      <c r="C502" s="75">
        <f ca="1">IFERROR(__xludf.DUMMYFUNCTION("""COMPUTED_VALUE"""),340)</f>
        <v>340</v>
      </c>
      <c r="D502" s="75">
        <f ca="1">IFERROR(__xludf.DUMMYFUNCTION("""COMPUTED_VALUE"""),0)</f>
        <v>0</v>
      </c>
      <c r="E502" s="76">
        <f ca="1">IFERROR(__xludf.DUMMYFUNCTION("""COMPUTED_VALUE"""),340)</f>
        <v>340</v>
      </c>
      <c r="F502" s="77">
        <f ca="1">IFERROR(__xludf.DUMMYFUNCTION("""COMPUTED_VALUE"""),20030008)</f>
        <v>20030008</v>
      </c>
      <c r="G502" s="77" t="str">
        <f t="shared" ca="1" si="1"/>
        <v>si</v>
      </c>
    </row>
    <row r="503" spans="1:7" ht="12.75" x14ac:dyDescent="0.2">
      <c r="A503" s="62">
        <f ca="1">IFERROR(__xludf.DUMMYFUNCTION("""COMPUTED_VALUE"""),20030015)</f>
        <v>20030015</v>
      </c>
      <c r="B503" s="62" t="str">
        <f ca="1">IFERROR(__xludf.DUMMYFUNCTION("""COMPUTED_VALUE"""),"DDR4 2666mhz 8gb (Icolax)")</f>
        <v>DDR4 2666mhz 8gb (Icolax)</v>
      </c>
      <c r="C503" s="75">
        <f ca="1">IFERROR(__xludf.DUMMYFUNCTION("""COMPUTED_VALUE"""),150)</f>
        <v>150</v>
      </c>
      <c r="D503" s="75">
        <f ca="1">IFERROR(__xludf.DUMMYFUNCTION("""COMPUTED_VALUE"""),0)</f>
        <v>0</v>
      </c>
      <c r="E503" s="76">
        <f ca="1">IFERROR(__xludf.DUMMYFUNCTION("""COMPUTED_VALUE"""),150)</f>
        <v>150</v>
      </c>
      <c r="F503" s="77">
        <f ca="1">IFERROR(__xludf.DUMMYFUNCTION("""COMPUTED_VALUE"""),20030015)</f>
        <v>20030015</v>
      </c>
      <c r="G503" s="77" t="str">
        <f t="shared" ca="1" si="1"/>
        <v>si</v>
      </c>
    </row>
    <row r="504" spans="1:7" ht="12.75" x14ac:dyDescent="0.2">
      <c r="A504" s="62">
        <f ca="1">IFERROR(__xludf.DUMMYFUNCTION("""COMPUTED_VALUE"""),20030014)</f>
        <v>20030014</v>
      </c>
      <c r="B504" s="62" t="str">
        <f ca="1">IFERROR(__xludf.DUMMYFUNCTION("""COMPUTED_VALUE"""),"DDR4 2666mhz 16gb (Icolax)")</f>
        <v>DDR4 2666mhz 16gb (Icolax)</v>
      </c>
      <c r="C504" s="75">
        <f ca="1">IFERROR(__xludf.DUMMYFUNCTION("""COMPUTED_VALUE"""),290)</f>
        <v>290</v>
      </c>
      <c r="D504" s="75">
        <f ca="1">IFERROR(__xludf.DUMMYFUNCTION("""COMPUTED_VALUE"""),0)</f>
        <v>0</v>
      </c>
      <c r="E504" s="76">
        <f ca="1">IFERROR(__xludf.DUMMYFUNCTION("""COMPUTED_VALUE"""),290)</f>
        <v>290</v>
      </c>
      <c r="F504" s="77">
        <f ca="1">IFERROR(__xludf.DUMMYFUNCTION("""COMPUTED_VALUE"""),20030014)</f>
        <v>20030014</v>
      </c>
      <c r="G504" s="77" t="str">
        <f t="shared" ca="1" si="1"/>
        <v>si</v>
      </c>
    </row>
    <row r="505" spans="1:7" ht="12.75" x14ac:dyDescent="0.2">
      <c r="A505" s="62">
        <f ca="1">IFERROR(__xludf.DUMMYFUNCTION("""COMPUTED_VALUE"""),20030007)</f>
        <v>20030007</v>
      </c>
      <c r="B505" s="62" t="str">
        <f ca="1">IFERROR(__xludf.DUMMYFUNCTION("""COMPUTED_VALUE"""),"DDR3 1866MHZ 8GB SODIMM (MACBOOK) (14900)")</f>
        <v>DDR3 1866MHZ 8GB SODIMM (MACBOOK) (14900)</v>
      </c>
      <c r="C505" s="75">
        <f ca="1">IFERROR(__xludf.DUMMYFUNCTION("""COMPUTED_VALUE"""),160)</f>
        <v>160</v>
      </c>
      <c r="D505" s="75">
        <f ca="1">IFERROR(__xludf.DUMMYFUNCTION("""COMPUTED_VALUE"""),0)</f>
        <v>0</v>
      </c>
      <c r="E505" s="76">
        <f ca="1">IFERROR(__xludf.DUMMYFUNCTION("""COMPUTED_VALUE"""),160)</f>
        <v>160</v>
      </c>
      <c r="F505" s="77">
        <f ca="1">IFERROR(__xludf.DUMMYFUNCTION("""COMPUTED_VALUE"""),20030007)</f>
        <v>20030007</v>
      </c>
      <c r="G505" s="77" t="str">
        <f t="shared" ca="1" si="1"/>
        <v>si</v>
      </c>
    </row>
    <row r="506" spans="1:7" ht="12.75" x14ac:dyDescent="0.2">
      <c r="A506" s="62">
        <f ca="1">IFERROR(__xludf.DUMMYFUNCTION("""COMPUTED_VALUE"""),20160029)</f>
        <v>20160029</v>
      </c>
      <c r="B506" s="62" t="str">
        <f ca="1">IFERROR(__xludf.DUMMYFUNCTION("""COMPUTED_VALUE"""),"DDR3L 4GB 1600MHZ SODIMM 1.35V icoolax")</f>
        <v>DDR3L 4GB 1600MHZ SODIMM 1.35V icoolax</v>
      </c>
      <c r="C506" s="75">
        <f ca="1">IFERROR(__xludf.DUMMYFUNCTION("""COMPUTED_VALUE"""),100)</f>
        <v>100</v>
      </c>
      <c r="D506" s="75">
        <f ca="1">IFERROR(__xludf.DUMMYFUNCTION("""COMPUTED_VALUE"""),0)</f>
        <v>0</v>
      </c>
      <c r="E506" s="76">
        <f ca="1">IFERROR(__xludf.DUMMYFUNCTION("""COMPUTED_VALUE"""),100)</f>
        <v>100</v>
      </c>
      <c r="F506" s="77">
        <f ca="1">IFERROR(__xludf.DUMMYFUNCTION("""COMPUTED_VALUE"""),20160029)</f>
        <v>20160029</v>
      </c>
      <c r="G506" s="77" t="str">
        <f t="shared" ca="1" si="1"/>
        <v>si</v>
      </c>
    </row>
    <row r="507" spans="1:7" ht="12.75" x14ac:dyDescent="0.2">
      <c r="A507" s="62">
        <f ca="1">IFERROR(__xludf.DUMMYFUNCTION("""COMPUTED_VALUE"""),20020001)</f>
        <v>20020001</v>
      </c>
      <c r="B507" s="62" t="str">
        <f ca="1">IFERROR(__xludf.DUMMYFUNCTION("""COMPUTED_VALUE"""),"DDR3L 8GB 1600MHZ SODIMM 1.35V icoolax")</f>
        <v>DDR3L 8GB 1600MHZ SODIMM 1.35V icoolax</v>
      </c>
      <c r="C507" s="75">
        <f ca="1">IFERROR(__xludf.DUMMYFUNCTION("""COMPUTED_VALUE"""),270)</f>
        <v>270</v>
      </c>
      <c r="D507" s="75">
        <f ca="1">IFERROR(__xludf.DUMMYFUNCTION("""COMPUTED_VALUE"""),0)</f>
        <v>0</v>
      </c>
      <c r="E507" s="76">
        <f ca="1">IFERROR(__xludf.DUMMYFUNCTION("""COMPUTED_VALUE"""),270)</f>
        <v>270</v>
      </c>
      <c r="F507" s="77">
        <f ca="1">IFERROR(__xludf.DUMMYFUNCTION("""COMPUTED_VALUE"""),20020001)</f>
        <v>20020001</v>
      </c>
      <c r="G507" s="77" t="str">
        <f t="shared" ca="1" si="1"/>
        <v>si</v>
      </c>
    </row>
    <row r="508" spans="1:7" ht="12.75" x14ac:dyDescent="0.2">
      <c r="A508" s="62">
        <f ca="1">IFERROR(__xludf.DUMMYFUNCTION("""COMPUTED_VALUE"""),20030016)</f>
        <v>20030016</v>
      </c>
      <c r="B508" s="62" t="str">
        <f ca="1">IFERROR(__xludf.DUMMYFUNCTION("""COMPUTED_VALUE"""),"DDR4 3200mhz 8gb (Icolax)")</f>
        <v>DDR4 3200mhz 8gb (Icolax)</v>
      </c>
      <c r="C508" s="75">
        <f ca="1">IFERROR(__xludf.DUMMYFUNCTION("""COMPUTED_VALUE"""),170)</f>
        <v>170</v>
      </c>
      <c r="D508" s="75">
        <f ca="1">IFERROR(__xludf.DUMMYFUNCTION("""COMPUTED_VALUE"""),0)</f>
        <v>0</v>
      </c>
      <c r="E508" s="76">
        <f ca="1">IFERROR(__xludf.DUMMYFUNCTION("""COMPUTED_VALUE"""),170)</f>
        <v>170</v>
      </c>
      <c r="F508" s="77">
        <f ca="1">IFERROR(__xludf.DUMMYFUNCTION("""COMPUTED_VALUE"""),20030016)</f>
        <v>20030016</v>
      </c>
      <c r="G508" s="77" t="str">
        <f t="shared" ca="1" si="1"/>
        <v>si</v>
      </c>
    </row>
    <row r="509" spans="1:7" ht="12.75" x14ac:dyDescent="0.2">
      <c r="A509" s="62">
        <f ca="1">IFERROR(__xludf.DUMMYFUNCTION("""COMPUTED_VALUE"""),20030017)</f>
        <v>20030017</v>
      </c>
      <c r="B509" s="62" t="str">
        <f ca="1">IFERROR(__xludf.DUMMYFUNCTION("""COMPUTED_VALUE"""),"DDR4 3200mhz 16gb (Icolax)")</f>
        <v>DDR4 3200mhz 16gb (Icolax)</v>
      </c>
      <c r="C509" s="75">
        <f ca="1">IFERROR(__xludf.DUMMYFUNCTION("""COMPUTED_VALUE"""),290)</f>
        <v>290</v>
      </c>
      <c r="D509" s="75">
        <f ca="1">IFERROR(__xludf.DUMMYFUNCTION("""COMPUTED_VALUE"""),0)</f>
        <v>0</v>
      </c>
      <c r="E509" s="76">
        <f ca="1">IFERROR(__xludf.DUMMYFUNCTION("""COMPUTED_VALUE"""),290)</f>
        <v>290</v>
      </c>
      <c r="F509" s="77">
        <f ca="1">IFERROR(__xludf.DUMMYFUNCTION("""COMPUTED_VALUE"""),20030017)</f>
        <v>20030017</v>
      </c>
      <c r="G509" s="77" t="str">
        <f t="shared" ca="1" si="1"/>
        <v>si</v>
      </c>
    </row>
    <row r="510" spans="1:7" ht="12.75" x14ac:dyDescent="0.2">
      <c r="A510" s="62">
        <f ca="1">IFERROR(__xludf.DUMMYFUNCTION("""COMPUTED_VALUE"""),20030018)</f>
        <v>20030018</v>
      </c>
      <c r="B510" s="62" t="str">
        <f ca="1">IFERROR(__xludf.DUMMYFUNCTION("""COMPUTED_VALUE"""),"DDR4 3200mhz 32gb (Icolax)")</f>
        <v>DDR4 3200mhz 32gb (Icolax)</v>
      </c>
      <c r="C510" s="75">
        <f ca="1">IFERROR(__xludf.DUMMYFUNCTION("""COMPUTED_VALUE"""),460)</f>
        <v>460</v>
      </c>
      <c r="D510" s="75">
        <f ca="1">IFERROR(__xludf.DUMMYFUNCTION("""COMPUTED_VALUE"""),0)</f>
        <v>0</v>
      </c>
      <c r="E510" s="76">
        <f ca="1">IFERROR(__xludf.DUMMYFUNCTION("""COMPUTED_VALUE"""),460)</f>
        <v>460</v>
      </c>
      <c r="F510" s="77">
        <f ca="1">IFERROR(__xludf.DUMMYFUNCTION("""COMPUTED_VALUE"""),20030018)</f>
        <v>20030018</v>
      </c>
      <c r="G510" s="77" t="str">
        <f t="shared" ca="1" si="1"/>
        <v>si</v>
      </c>
    </row>
    <row r="511" spans="1:7" ht="12.75" x14ac:dyDescent="0.2">
      <c r="A511" s="62">
        <f ca="1">IFERROR(__xludf.DUMMYFUNCTION("""COMPUTED_VALUE"""),20070006)</f>
        <v>20070006</v>
      </c>
      <c r="B511" s="62" t="str">
        <f ca="1">IFERROR(__xludf.DUMMYFUNCTION("""COMPUTED_VALUE"""),"HDD 3.5´2TB")</f>
        <v>HDD 3.5´2TB</v>
      </c>
      <c r="C511" s="75">
        <f ca="1">IFERROR(__xludf.DUMMYFUNCTION("""COMPUTED_VALUE"""),240)</f>
        <v>240</v>
      </c>
      <c r="D511" s="75">
        <f ca="1">IFERROR(__xludf.DUMMYFUNCTION("""COMPUTED_VALUE"""),0)</f>
        <v>0</v>
      </c>
      <c r="E511" s="76">
        <f ca="1">IFERROR(__xludf.DUMMYFUNCTION("""COMPUTED_VALUE"""),240)</f>
        <v>240</v>
      </c>
      <c r="F511" s="77">
        <f ca="1">IFERROR(__xludf.DUMMYFUNCTION("""COMPUTED_VALUE"""),20070006)</f>
        <v>20070006</v>
      </c>
      <c r="G511" s="77" t="str">
        <f t="shared" ca="1" si="1"/>
        <v>si</v>
      </c>
    </row>
    <row r="512" spans="1:7" ht="12.75" x14ac:dyDescent="0.2">
      <c r="A512" s="62">
        <f ca="1">IFERROR(__xludf.DUMMYFUNCTION("""COMPUTED_VALUE"""),20070001)</f>
        <v>20070001</v>
      </c>
      <c r="B512" s="62" t="str">
        <f ca="1">IFERROR(__xludf.DUMMYFUNCTION("""COMPUTED_VALUE"""),"120 SSD A400 2.5 Sata 3 Icoolax")</f>
        <v>120 SSD A400 2.5 Sata 3 Icoolax</v>
      </c>
      <c r="C512" s="75">
        <f ca="1">IFERROR(__xludf.DUMMYFUNCTION("""COMPUTED_VALUE"""),90)</f>
        <v>90</v>
      </c>
      <c r="D512" s="75">
        <f ca="1">IFERROR(__xludf.DUMMYFUNCTION("""COMPUTED_VALUE"""),0)</f>
        <v>0</v>
      </c>
      <c r="E512" s="76">
        <f ca="1">IFERROR(__xludf.DUMMYFUNCTION("""COMPUTED_VALUE"""),90)</f>
        <v>90</v>
      </c>
      <c r="F512" s="77">
        <f ca="1">IFERROR(__xludf.DUMMYFUNCTION("""COMPUTED_VALUE"""),20070001)</f>
        <v>20070001</v>
      </c>
      <c r="G512" s="77" t="str">
        <f t="shared" ref="G512:G766" ca="1" si="2">IF(F512=A512,"si","no")</f>
        <v>si</v>
      </c>
    </row>
    <row r="513" spans="1:7" ht="12.75" x14ac:dyDescent="0.2">
      <c r="A513" s="62">
        <f ca="1">IFERROR(__xludf.DUMMYFUNCTION("""COMPUTED_VALUE"""),20070002)</f>
        <v>20070002</v>
      </c>
      <c r="B513" s="62" t="str">
        <f ca="1">IFERROR(__xludf.DUMMYFUNCTION("""COMPUTED_VALUE"""),"240 SSD A400 2.5 Sata 3 Icoolax")</f>
        <v>240 SSD A400 2.5 Sata 3 Icoolax</v>
      </c>
      <c r="C513" s="75">
        <f ca="1">IFERROR(__xludf.DUMMYFUNCTION("""COMPUTED_VALUE"""),140)</f>
        <v>140</v>
      </c>
      <c r="D513" s="75">
        <f ca="1">IFERROR(__xludf.DUMMYFUNCTION("""COMPUTED_VALUE"""),0)</f>
        <v>0</v>
      </c>
      <c r="E513" s="76">
        <f ca="1">IFERROR(__xludf.DUMMYFUNCTION("""COMPUTED_VALUE"""),140)</f>
        <v>140</v>
      </c>
      <c r="F513" s="77">
        <f ca="1">IFERROR(__xludf.DUMMYFUNCTION("""COMPUTED_VALUE"""),20070002)</f>
        <v>20070002</v>
      </c>
      <c r="G513" s="77" t="str">
        <f t="shared" ca="1" si="2"/>
        <v>si</v>
      </c>
    </row>
    <row r="514" spans="1:7" ht="12.75" x14ac:dyDescent="0.2">
      <c r="A514" s="62">
        <f ca="1">IFERROR(__xludf.DUMMYFUNCTION("""COMPUTED_VALUE"""),20070003)</f>
        <v>20070003</v>
      </c>
      <c r="B514" s="62" t="str">
        <f ca="1">IFERROR(__xludf.DUMMYFUNCTION("""COMPUTED_VALUE"""),"480 SSD A400 2.5 Sata 3 Icoolax")</f>
        <v>480 SSD A400 2.5 Sata 3 Icoolax</v>
      </c>
      <c r="C514" s="75">
        <f ca="1">IFERROR(__xludf.DUMMYFUNCTION("""COMPUTED_VALUE"""),240)</f>
        <v>240</v>
      </c>
      <c r="D514" s="75">
        <f ca="1">IFERROR(__xludf.DUMMYFUNCTION("""COMPUTED_VALUE"""),0)</f>
        <v>0</v>
      </c>
      <c r="E514" s="76">
        <f ca="1">IFERROR(__xludf.DUMMYFUNCTION("""COMPUTED_VALUE"""),240)</f>
        <v>240</v>
      </c>
      <c r="F514" s="77">
        <f ca="1">IFERROR(__xludf.DUMMYFUNCTION("""COMPUTED_VALUE"""),20070003)</f>
        <v>20070003</v>
      </c>
      <c r="G514" s="77" t="str">
        <f t="shared" ca="1" si="2"/>
        <v>si</v>
      </c>
    </row>
    <row r="515" spans="1:7" ht="12.75" x14ac:dyDescent="0.2">
      <c r="A515" s="62">
        <f ca="1">IFERROR(__xludf.DUMMYFUNCTION("""COMPUTED_VALUE"""),20070004)</f>
        <v>20070004</v>
      </c>
      <c r="B515" s="62" t="str">
        <f ca="1">IFERROR(__xludf.DUMMYFUNCTION("""COMPUTED_VALUE"""),"960 SSD A400 2.5 Sata 3 Kingston")</f>
        <v>960 SSD A400 2.5 Sata 3 Kingston</v>
      </c>
      <c r="C515" s="75">
        <f ca="1">IFERROR(__xludf.DUMMYFUNCTION("""COMPUTED_VALUE"""),340)</f>
        <v>340</v>
      </c>
      <c r="D515" s="75">
        <f ca="1">IFERROR(__xludf.DUMMYFUNCTION("""COMPUTED_VALUE"""),0)</f>
        <v>0</v>
      </c>
      <c r="E515" s="76">
        <f ca="1">IFERROR(__xludf.DUMMYFUNCTION("""COMPUTED_VALUE"""),340)</f>
        <v>340</v>
      </c>
      <c r="F515" s="77">
        <f ca="1">IFERROR(__xludf.DUMMYFUNCTION("""COMPUTED_VALUE"""),20070004)</f>
        <v>20070004</v>
      </c>
      <c r="G515" s="77" t="str">
        <f t="shared" ca="1" si="2"/>
        <v>si</v>
      </c>
    </row>
    <row r="516" spans="1:7" ht="12.75" x14ac:dyDescent="0.2">
      <c r="A516" s="62">
        <f ca="1">IFERROR(__xludf.DUMMYFUNCTION("""COMPUTED_VALUE"""),20070023)</f>
        <v>20070023</v>
      </c>
      <c r="B516" s="62" t="str">
        <f ca="1">IFERROR(__xludf.DUMMYFUNCTION("""COMPUTED_VALUE"""),"2TB SSD A400 2.5 Sata 3 Kingston")</f>
        <v>2TB SSD A400 2.5 Sata 3 Kingston</v>
      </c>
      <c r="C516" s="75">
        <f ca="1">IFERROR(__xludf.DUMMYFUNCTION("""COMPUTED_VALUE"""),0)</f>
        <v>0</v>
      </c>
      <c r="D516" s="75">
        <f ca="1">IFERROR(__xludf.DUMMYFUNCTION("""COMPUTED_VALUE"""),0)</f>
        <v>0</v>
      </c>
      <c r="E516" s="76">
        <f ca="1">IFERROR(__xludf.DUMMYFUNCTION("""COMPUTED_VALUE"""),0)</f>
        <v>0</v>
      </c>
      <c r="F516" s="77">
        <f ca="1">IFERROR(__xludf.DUMMYFUNCTION("""COMPUTED_VALUE"""),20070023)</f>
        <v>20070023</v>
      </c>
      <c r="G516" s="77" t="str">
        <f t="shared" ca="1" si="2"/>
        <v>si</v>
      </c>
    </row>
    <row r="517" spans="1:7" ht="12.75" x14ac:dyDescent="0.2">
      <c r="A517" s="62">
        <f ca="1">IFERROR(__xludf.DUMMYFUNCTION("""COMPUTED_VALUE"""),20070020)</f>
        <v>20070020</v>
      </c>
      <c r="B517" s="62" t="str">
        <f ca="1">IFERROR(__xludf.DUMMYFUNCTION("""COMPUTED_VALUE"""),"SSD 512GB Macbook Retina 13 15 A1425 A1398 - Mid 2012 Early 2013 Mac A1418 - A1419 - 2012 (2)")</f>
        <v>SSD 512GB Macbook Retina 13 15 A1425 A1398 - Mid 2012 Early 2013 Mac A1418 - A1419 - 2012 (2)</v>
      </c>
      <c r="C517" s="75">
        <f ca="1">IFERROR(__xludf.DUMMYFUNCTION("""COMPUTED_VALUE"""),600)</f>
        <v>600</v>
      </c>
      <c r="D517" s="75">
        <f ca="1">IFERROR(__xludf.DUMMYFUNCTION("""COMPUTED_VALUE"""),0)</f>
        <v>0</v>
      </c>
      <c r="E517" s="76">
        <f ca="1">IFERROR(__xludf.DUMMYFUNCTION("""COMPUTED_VALUE"""),600)</f>
        <v>600</v>
      </c>
      <c r="F517" s="77">
        <f ca="1">IFERROR(__xludf.DUMMYFUNCTION("""COMPUTED_VALUE"""),20070020)</f>
        <v>20070020</v>
      </c>
      <c r="G517" s="77" t="str">
        <f t="shared" ca="1" si="2"/>
        <v>si</v>
      </c>
    </row>
    <row r="518" spans="1:7" ht="12.75" x14ac:dyDescent="0.2">
      <c r="A518" s="62">
        <f ca="1">IFERROR(__xludf.DUMMYFUNCTION("""COMPUTED_VALUE"""),20070015)</f>
        <v>20070015</v>
      </c>
      <c r="B518" s="62" t="str">
        <f ca="1">IFERROR(__xludf.DUMMYFUNCTION("""COMPUTED_VALUE"""),"SSD 256GB Macbook Retina 13 15 A1425 A1398 - Mid 2012 Early 2013 Mac A1418 - A1419 - 2012 (1)")</f>
        <v>SSD 256GB Macbook Retina 13 15 A1425 A1398 - Mid 2012 Early 2013 Mac A1418 - A1419 - 2012 (1)</v>
      </c>
      <c r="C518" s="75">
        <f ca="1">IFERROR(__xludf.DUMMYFUNCTION("""COMPUTED_VALUE"""),450)</f>
        <v>450</v>
      </c>
      <c r="D518" s="75">
        <f ca="1">IFERROR(__xludf.DUMMYFUNCTION("""COMPUTED_VALUE"""),0)</f>
        <v>0</v>
      </c>
      <c r="E518" s="76">
        <f ca="1">IFERROR(__xludf.DUMMYFUNCTION("""COMPUTED_VALUE"""),450)</f>
        <v>450</v>
      </c>
      <c r="F518" s="77">
        <f ca="1">IFERROR(__xludf.DUMMYFUNCTION("""COMPUTED_VALUE"""),20070015)</f>
        <v>20070015</v>
      </c>
      <c r="G518" s="77" t="str">
        <f t="shared" ca="1" si="2"/>
        <v>si</v>
      </c>
    </row>
    <row r="519" spans="1:7" ht="12.75" x14ac:dyDescent="0.2">
      <c r="A519" s="62">
        <f ca="1">IFERROR(__xludf.DUMMYFUNCTION("""COMPUTED_VALUE"""),20070017)</f>
        <v>20070017</v>
      </c>
      <c r="B519" s="62" t="str">
        <f ca="1">IFERROR(__xludf.DUMMYFUNCTION("""COMPUTED_VALUE"""),"SSD 512GB Macbook  A1398 - A1465 - A1466 - A1502 (2013-2014-2015) Mac A1418 - A1419 - 2013 - 2014 - 2015 (7)")</f>
        <v>SSD 512GB Macbook  A1398 - A1465 - A1466 - A1502 (2013-2014-2015) Mac A1418 - A1419 - 2013 - 2014 - 2015 (7)</v>
      </c>
      <c r="C519" s="75">
        <f ca="1">IFERROR(__xludf.DUMMYFUNCTION("""COMPUTED_VALUE"""),900)</f>
        <v>900</v>
      </c>
      <c r="D519" s="75">
        <f ca="1">IFERROR(__xludf.DUMMYFUNCTION("""COMPUTED_VALUE"""),0)</f>
        <v>0</v>
      </c>
      <c r="E519" s="76">
        <f ca="1">IFERROR(__xludf.DUMMYFUNCTION("""COMPUTED_VALUE"""),900)</f>
        <v>900</v>
      </c>
      <c r="F519" s="77">
        <f ca="1">IFERROR(__xludf.DUMMYFUNCTION("""COMPUTED_VALUE"""),20070017)</f>
        <v>20070017</v>
      </c>
      <c r="G519" s="77" t="str">
        <f t="shared" ca="1" si="2"/>
        <v>si</v>
      </c>
    </row>
    <row r="520" spans="1:7" ht="12.75" x14ac:dyDescent="0.2">
      <c r="A520" s="62">
        <f ca="1">IFERROR(__xludf.DUMMYFUNCTION("""COMPUTED_VALUE"""),20070013)</f>
        <v>20070013</v>
      </c>
      <c r="B520" s="62" t="str">
        <f ca="1">IFERROR(__xludf.DUMMYFUNCTION("""COMPUTED_VALUE"""),"SSD 256  Macbook A1466 2017 (3)")</f>
        <v>SSD 256  Macbook A1466 2017 (3)</v>
      </c>
      <c r="C520" s="75">
        <f ca="1">IFERROR(__xludf.DUMMYFUNCTION("""COMPUTED_VALUE"""),610)</f>
        <v>610</v>
      </c>
      <c r="D520" s="75">
        <f ca="1">IFERROR(__xludf.DUMMYFUNCTION("""COMPUTED_VALUE"""),0)</f>
        <v>0</v>
      </c>
      <c r="E520" s="76">
        <f ca="1">IFERROR(__xludf.DUMMYFUNCTION("""COMPUTED_VALUE"""),610)</f>
        <v>610</v>
      </c>
      <c r="F520" s="77">
        <f ca="1">IFERROR(__xludf.DUMMYFUNCTION("""COMPUTED_VALUE"""),20070013)</f>
        <v>20070013</v>
      </c>
      <c r="G520" s="77" t="str">
        <f t="shared" ca="1" si="2"/>
        <v>si</v>
      </c>
    </row>
    <row r="521" spans="1:7" ht="12.75" x14ac:dyDescent="0.2">
      <c r="A521" s="62">
        <f ca="1">IFERROR(__xludf.DUMMYFUNCTION("""COMPUTED_VALUE"""),20070018)</f>
        <v>20070018</v>
      </c>
      <c r="B521" s="62" t="str">
        <f ca="1">IFERROR(__xludf.DUMMYFUNCTION("""COMPUTED_VALUE"""),"SSD 512GB Macbook  A1398 - A1465 - A1466 - A1502 (2015 - 2016) (8)")</f>
        <v>SSD 512GB Macbook  A1398 - A1465 - A1466 - A1502 (2015 - 2016) (8)</v>
      </c>
      <c r="C521" s="75">
        <f ca="1">IFERROR(__xludf.DUMMYFUNCTION("""COMPUTED_VALUE"""),900)</f>
        <v>900</v>
      </c>
      <c r="D521" s="75">
        <f ca="1">IFERROR(__xludf.DUMMYFUNCTION("""COMPUTED_VALUE"""),0)</f>
        <v>0</v>
      </c>
      <c r="E521" s="76">
        <f ca="1">IFERROR(__xludf.DUMMYFUNCTION("""COMPUTED_VALUE"""),900)</f>
        <v>900</v>
      </c>
      <c r="F521" s="77">
        <f ca="1">IFERROR(__xludf.DUMMYFUNCTION("""COMPUTED_VALUE"""),20070018)</f>
        <v>20070018</v>
      </c>
      <c r="G521" s="77" t="str">
        <f t="shared" ca="1" si="2"/>
        <v>si</v>
      </c>
    </row>
    <row r="522" spans="1:7" ht="12.75" x14ac:dyDescent="0.2">
      <c r="A522" s="62">
        <f ca="1">IFERROR(__xludf.DUMMYFUNCTION("""COMPUTED_VALUE"""),20070016)</f>
        <v>20070016</v>
      </c>
      <c r="B522" s="62" t="str">
        <f ca="1">IFERROR(__xludf.DUMMYFUNCTION("""COMPUTED_VALUE"""),"SSD 512  Macbook A1466 2017 (4)")</f>
        <v>SSD 512  Macbook A1466 2017 (4)</v>
      </c>
      <c r="C522" s="75">
        <f ca="1">IFERROR(__xludf.DUMMYFUNCTION("""COMPUTED_VALUE"""),790)</f>
        <v>790</v>
      </c>
      <c r="D522" s="75">
        <f ca="1">IFERROR(__xludf.DUMMYFUNCTION("""COMPUTED_VALUE"""),0)</f>
        <v>0</v>
      </c>
      <c r="E522" s="76">
        <f ca="1">IFERROR(__xludf.DUMMYFUNCTION("""COMPUTED_VALUE"""),790)</f>
        <v>790</v>
      </c>
      <c r="F522" s="77">
        <f ca="1">IFERROR(__xludf.DUMMYFUNCTION("""COMPUTED_VALUE"""),20070016)</f>
        <v>20070016</v>
      </c>
      <c r="G522" s="77" t="str">
        <f t="shared" ca="1" si="2"/>
        <v>si</v>
      </c>
    </row>
    <row r="523" spans="1:7" ht="12.75" x14ac:dyDescent="0.2">
      <c r="A523" s="62">
        <f ca="1">IFERROR(__xludf.DUMMYFUNCTION("""COMPUTED_VALUE"""),20140401)</f>
        <v>20140401</v>
      </c>
      <c r="B523" s="62" t="str">
        <f ca="1">IFERROR(__xludf.DUMMYFUNCTION("""COMPUTED_VALUE"""),"SSD Macbook A1708 1TB")</f>
        <v>SSD Macbook A1708 1TB</v>
      </c>
      <c r="C523" s="75">
        <f ca="1">IFERROR(__xludf.DUMMYFUNCTION("""COMPUTED_VALUE"""),990)</f>
        <v>990</v>
      </c>
      <c r="D523" s="75">
        <f ca="1">IFERROR(__xludf.DUMMYFUNCTION("""COMPUTED_VALUE"""),0)</f>
        <v>0</v>
      </c>
      <c r="E523" s="76">
        <f ca="1">IFERROR(__xludf.DUMMYFUNCTION("""COMPUTED_VALUE"""),990)</f>
        <v>990</v>
      </c>
      <c r="F523" s="77">
        <f ca="1">IFERROR(__xludf.DUMMYFUNCTION("""COMPUTED_VALUE"""),20140401)</f>
        <v>20140401</v>
      </c>
      <c r="G523" s="77" t="str">
        <f t="shared" ca="1" si="2"/>
        <v>si</v>
      </c>
    </row>
    <row r="524" spans="1:7" ht="12.75" x14ac:dyDescent="0.2">
      <c r="A524" s="62">
        <f ca="1">IFERROR(__xludf.DUMMYFUNCTION("""COMPUTED_VALUE"""),20070007)</f>
        <v>20070007</v>
      </c>
      <c r="B524" s="62" t="str">
        <f ca="1">IFERROR(__xludf.DUMMYFUNCTION("""COMPUTED_VALUE"""),"M2 - NGFF SSD 256GB Icoolax")</f>
        <v>M2 - NGFF SSD 256GB Icoolax</v>
      </c>
      <c r="C524" s="75">
        <f ca="1">IFERROR(__xludf.DUMMYFUNCTION("""COMPUTED_VALUE"""),160)</f>
        <v>160</v>
      </c>
      <c r="D524" s="75">
        <f ca="1">IFERROR(__xludf.DUMMYFUNCTION("""COMPUTED_VALUE"""),0)</f>
        <v>0</v>
      </c>
      <c r="E524" s="76">
        <f ca="1">IFERROR(__xludf.DUMMYFUNCTION("""COMPUTED_VALUE"""),160)</f>
        <v>160</v>
      </c>
      <c r="F524" s="77">
        <f ca="1">IFERROR(__xludf.DUMMYFUNCTION("""COMPUTED_VALUE"""),20070007)</f>
        <v>20070007</v>
      </c>
      <c r="G524" s="77" t="str">
        <f t="shared" ca="1" si="2"/>
        <v>si</v>
      </c>
    </row>
    <row r="525" spans="1:7" ht="12.75" x14ac:dyDescent="0.2">
      <c r="A525" s="62">
        <f ca="1">IFERROR(__xludf.DUMMYFUNCTION("""COMPUTED_VALUE"""),20070008)</f>
        <v>20070008</v>
      </c>
      <c r="B525" s="62" t="str">
        <f ca="1">IFERROR(__xludf.DUMMYFUNCTION("""COMPUTED_VALUE"""),"M2 - NGFF SSD 512GB Icoolax")</f>
        <v>M2 - NGFF SSD 512GB Icoolax</v>
      </c>
      <c r="C525" s="75">
        <f ca="1">IFERROR(__xludf.DUMMYFUNCTION("""COMPUTED_VALUE"""),260)</f>
        <v>260</v>
      </c>
      <c r="D525" s="75">
        <f ca="1">IFERROR(__xludf.DUMMYFUNCTION("""COMPUTED_VALUE"""),0)</f>
        <v>0</v>
      </c>
      <c r="E525" s="76">
        <f ca="1">IFERROR(__xludf.DUMMYFUNCTION("""COMPUTED_VALUE"""),260)</f>
        <v>260</v>
      </c>
      <c r="F525" s="77">
        <f ca="1">IFERROR(__xludf.DUMMYFUNCTION("""COMPUTED_VALUE"""),20070008)</f>
        <v>20070008</v>
      </c>
      <c r="G525" s="77" t="str">
        <f t="shared" ca="1" si="2"/>
        <v>si</v>
      </c>
    </row>
    <row r="526" spans="1:7" ht="12.75" x14ac:dyDescent="0.2">
      <c r="A526" s="62">
        <f ca="1">IFERROR(__xludf.DUMMYFUNCTION("""COMPUTED_VALUE"""),20070012)</f>
        <v>20070012</v>
      </c>
      <c r="B526" s="62" t="str">
        <f ca="1">IFERROR(__xludf.DUMMYFUNCTION("""COMPUTED_VALUE"""),"M2 NGFF SSD 1TB Icoolax")</f>
        <v>M2 NGFF SSD 1TB Icoolax</v>
      </c>
      <c r="C526" s="75">
        <f ca="1">IFERROR(__xludf.DUMMYFUNCTION("""COMPUTED_VALUE"""),420)</f>
        <v>420</v>
      </c>
      <c r="D526" s="75">
        <f ca="1">IFERROR(__xludf.DUMMYFUNCTION("""COMPUTED_VALUE"""),0)</f>
        <v>0</v>
      </c>
      <c r="E526" s="76">
        <f ca="1">IFERROR(__xludf.DUMMYFUNCTION("""COMPUTED_VALUE"""),420)</f>
        <v>420</v>
      </c>
      <c r="F526" s="77">
        <f ca="1">IFERROR(__xludf.DUMMYFUNCTION("""COMPUTED_VALUE"""),20070012)</f>
        <v>20070012</v>
      </c>
      <c r="G526" s="77" t="str">
        <f t="shared" ca="1" si="2"/>
        <v>si</v>
      </c>
    </row>
    <row r="527" spans="1:7" ht="12.75" x14ac:dyDescent="0.2">
      <c r="A527" s="62">
        <f ca="1">IFERROR(__xludf.DUMMYFUNCTION("""COMPUTED_VALUE"""),20070010)</f>
        <v>20070010</v>
      </c>
      <c r="B527" s="62" t="str">
        <f ca="1">IFERROR(__xludf.DUMMYFUNCTION("""COMPUTED_VALUE"""),"M2 - NVME 256 GB Icoolax")</f>
        <v>M2 - NVME 256 GB Icoolax</v>
      </c>
      <c r="C527" s="75">
        <f ca="1">IFERROR(__xludf.DUMMYFUNCTION("""COMPUTED_VALUE"""),160)</f>
        <v>160</v>
      </c>
      <c r="D527" s="75">
        <f ca="1">IFERROR(__xludf.DUMMYFUNCTION("""COMPUTED_VALUE"""),0)</f>
        <v>0</v>
      </c>
      <c r="E527" s="76">
        <f ca="1">IFERROR(__xludf.DUMMYFUNCTION("""COMPUTED_VALUE"""),160)</f>
        <v>160</v>
      </c>
      <c r="F527" s="77">
        <f ca="1">IFERROR(__xludf.DUMMYFUNCTION("""COMPUTED_VALUE"""),20070010)</f>
        <v>20070010</v>
      </c>
      <c r="G527" s="77" t="str">
        <f t="shared" ca="1" si="2"/>
        <v>si</v>
      </c>
    </row>
    <row r="528" spans="1:7" ht="12.75" x14ac:dyDescent="0.2">
      <c r="A528" s="62">
        <f ca="1">IFERROR(__xludf.DUMMYFUNCTION("""COMPUTED_VALUE"""),20070011)</f>
        <v>20070011</v>
      </c>
      <c r="B528" s="62" t="str">
        <f ca="1">IFERROR(__xludf.DUMMYFUNCTION("""COMPUTED_VALUE"""),"M2 - NVME 512 GB Icoolax")</f>
        <v>M2 - NVME 512 GB Icoolax</v>
      </c>
      <c r="C528" s="75">
        <f ca="1">IFERROR(__xludf.DUMMYFUNCTION("""COMPUTED_VALUE"""),260)</f>
        <v>260</v>
      </c>
      <c r="D528" s="75">
        <f ca="1">IFERROR(__xludf.DUMMYFUNCTION("""COMPUTED_VALUE"""),0)</f>
        <v>0</v>
      </c>
      <c r="E528" s="76">
        <f ca="1">IFERROR(__xludf.DUMMYFUNCTION("""COMPUTED_VALUE"""),260)</f>
        <v>260</v>
      </c>
      <c r="F528" s="77">
        <f ca="1">IFERROR(__xludf.DUMMYFUNCTION("""COMPUTED_VALUE"""),20070011)</f>
        <v>20070011</v>
      </c>
      <c r="G528" s="77" t="str">
        <f t="shared" ca="1" si="2"/>
        <v>si</v>
      </c>
    </row>
    <row r="529" spans="1:7" ht="12.75" x14ac:dyDescent="0.2">
      <c r="A529" s="62">
        <f ca="1">IFERROR(__xludf.DUMMYFUNCTION("""COMPUTED_VALUE"""),20070009)</f>
        <v>20070009</v>
      </c>
      <c r="B529" s="62" t="str">
        <f ca="1">IFERROR(__xludf.DUMMYFUNCTION("""COMPUTED_VALUE"""),"M2 - NVME 1TB Icoolax")</f>
        <v>M2 - NVME 1TB Icoolax</v>
      </c>
      <c r="C529" s="75">
        <f ca="1">IFERROR(__xludf.DUMMYFUNCTION("""COMPUTED_VALUE"""),420)</f>
        <v>420</v>
      </c>
      <c r="D529" s="75">
        <f ca="1">IFERROR(__xludf.DUMMYFUNCTION("""COMPUTED_VALUE"""),0)</f>
        <v>0</v>
      </c>
      <c r="E529" s="76">
        <f ca="1">IFERROR(__xludf.DUMMYFUNCTION("""COMPUTED_VALUE"""),420)</f>
        <v>420</v>
      </c>
      <c r="F529" s="77">
        <f ca="1">IFERROR(__xludf.DUMMYFUNCTION("""COMPUTED_VALUE"""),20070009)</f>
        <v>20070009</v>
      </c>
      <c r="G529" s="77" t="str">
        <f t="shared" ca="1" si="2"/>
        <v>si</v>
      </c>
    </row>
    <row r="530" spans="1:7" ht="12.75" x14ac:dyDescent="0.2">
      <c r="A530" s="62">
        <f ca="1">IFERROR(__xludf.DUMMYFUNCTION("""COMPUTED_VALUE"""),10090002)</f>
        <v>10090002</v>
      </c>
      <c r="B530" s="62" t="str">
        <f ca="1">IFERROR(__xludf.DUMMYFUNCTION("""COMPUTED_VALUE"""),"MICRO SD CARD 32GB")</f>
        <v>MICRO SD CARD 32GB</v>
      </c>
      <c r="C530" s="75">
        <f ca="1">IFERROR(__xludf.DUMMYFUNCTION("""COMPUTED_VALUE"""),50)</f>
        <v>50</v>
      </c>
      <c r="D530" s="75">
        <f ca="1">IFERROR(__xludf.DUMMYFUNCTION("""COMPUTED_VALUE"""),0)</f>
        <v>0</v>
      </c>
      <c r="E530" s="76">
        <f ca="1">IFERROR(__xludf.DUMMYFUNCTION("""COMPUTED_VALUE"""),50)</f>
        <v>50</v>
      </c>
      <c r="F530" s="77">
        <f ca="1">IFERROR(__xludf.DUMMYFUNCTION("""COMPUTED_VALUE"""),10090002)</f>
        <v>10090002</v>
      </c>
      <c r="G530" s="77" t="str">
        <f t="shared" ca="1" si="2"/>
        <v>si</v>
      </c>
    </row>
    <row r="531" spans="1:7" ht="12.75" x14ac:dyDescent="0.2">
      <c r="A531" s="62">
        <f ca="1">IFERROR(__xludf.DUMMYFUNCTION("""COMPUTED_VALUE"""),10090003)</f>
        <v>10090003</v>
      </c>
      <c r="B531" s="62" t="str">
        <f ca="1">IFERROR(__xludf.DUMMYFUNCTION("""COMPUTED_VALUE"""),"MICRO SD CARD 64GB")</f>
        <v>MICRO SD CARD 64GB</v>
      </c>
      <c r="C531" s="75">
        <f ca="1">IFERROR(__xludf.DUMMYFUNCTION("""COMPUTED_VALUE"""),65)</f>
        <v>65</v>
      </c>
      <c r="D531" s="75">
        <f ca="1">IFERROR(__xludf.DUMMYFUNCTION("""COMPUTED_VALUE"""),0)</f>
        <v>0</v>
      </c>
      <c r="E531" s="76">
        <f ca="1">IFERROR(__xludf.DUMMYFUNCTION("""COMPUTED_VALUE"""),65)</f>
        <v>65</v>
      </c>
      <c r="F531" s="77">
        <f ca="1">IFERROR(__xludf.DUMMYFUNCTION("""COMPUTED_VALUE"""),10090003)</f>
        <v>10090003</v>
      </c>
      <c r="G531" s="77" t="str">
        <f t="shared" ca="1" si="2"/>
        <v>si</v>
      </c>
    </row>
    <row r="532" spans="1:7" ht="12.75" x14ac:dyDescent="0.2">
      <c r="A532" s="62">
        <f ca="1">IFERROR(__xludf.DUMMYFUNCTION("""COMPUTED_VALUE"""),20130006)</f>
        <v>20130006</v>
      </c>
      <c r="B532" s="62" t="str">
        <f ca="1">IFERROR(__xludf.DUMMYFUNCTION("""COMPUTED_VALUE"""),"CADDY Lectora disco extraible")</f>
        <v>CADDY Lectora disco extraible</v>
      </c>
      <c r="C532" s="75">
        <f ca="1">IFERROR(__xludf.DUMMYFUNCTION("""COMPUTED_VALUE"""),50)</f>
        <v>50</v>
      </c>
      <c r="D532" s="75">
        <f ca="1">IFERROR(__xludf.DUMMYFUNCTION("""COMPUTED_VALUE"""),0)</f>
        <v>0</v>
      </c>
      <c r="E532" s="76">
        <f ca="1">IFERROR(__xludf.DUMMYFUNCTION("""COMPUTED_VALUE"""),50)</f>
        <v>50</v>
      </c>
      <c r="F532" s="77">
        <f ca="1">IFERROR(__xludf.DUMMYFUNCTION("""COMPUTED_VALUE"""),20130006)</f>
        <v>20130006</v>
      </c>
      <c r="G532" s="77" t="str">
        <f t="shared" ca="1" si="2"/>
        <v>si</v>
      </c>
    </row>
    <row r="533" spans="1:7" ht="12.75" x14ac:dyDescent="0.2">
      <c r="A533" s="62">
        <f ca="1">IFERROR(__xludf.DUMMYFUNCTION("""COMPUTED_VALUE"""),20050002)</f>
        <v>20050002</v>
      </c>
      <c r="B533" s="62"/>
      <c r="C533" s="62"/>
      <c r="D533" s="62"/>
      <c r="E533" s="57"/>
      <c r="F533" s="77">
        <f ca="1">IFERROR(__xludf.DUMMYFUNCTION("""COMPUTED_VALUE"""),20050002)</f>
        <v>20050002</v>
      </c>
      <c r="G533" s="77" t="str">
        <f t="shared" ca="1" si="2"/>
        <v>si</v>
      </c>
    </row>
    <row r="534" spans="1:7" ht="12.75" x14ac:dyDescent="0.2">
      <c r="A534" s="62">
        <f ca="1">IFERROR(__xludf.DUMMYFUNCTION("""COMPUTED_VALUE"""),20050005)</f>
        <v>20050005</v>
      </c>
      <c r="B534" s="62" t="str">
        <f ca="1">IFERROR(__xludf.DUMMYFUNCTION("""COMPUTED_VALUE"""),"Pantalla Laptop 14.0 Slim 40pin HD 1366*768 Normal")</f>
        <v>Pantalla Laptop 14.0 Slim 40pin HD 1366*768 Normal</v>
      </c>
      <c r="C534" s="75">
        <f ca="1">IFERROR(__xludf.DUMMYFUNCTION("""COMPUTED_VALUE"""),260)</f>
        <v>260</v>
      </c>
      <c r="D534" s="75">
        <f ca="1">IFERROR(__xludf.DUMMYFUNCTION("""COMPUTED_VALUE"""),100)</f>
        <v>100</v>
      </c>
      <c r="E534" s="76">
        <f ca="1">IFERROR(__xludf.DUMMYFUNCTION("""COMPUTED_VALUE"""),360)</f>
        <v>360</v>
      </c>
      <c r="F534" s="77">
        <f ca="1">IFERROR(__xludf.DUMMYFUNCTION("""COMPUTED_VALUE"""),20050005)</f>
        <v>20050005</v>
      </c>
      <c r="G534" s="77" t="str">
        <f t="shared" ca="1" si="2"/>
        <v>si</v>
      </c>
    </row>
    <row r="535" spans="1:7" ht="12.75" x14ac:dyDescent="0.2">
      <c r="A535" s="62">
        <f ca="1">IFERROR(__xludf.DUMMYFUNCTION("""COMPUTED_VALUE"""),20050020)</f>
        <v>20050020</v>
      </c>
      <c r="B535" s="62" t="str">
        <f ca="1">IFERROR(__xludf.DUMMYFUNCTION("""COMPUTED_VALUE"""),"Pantalla Laptop 14.0 Slim 30pin FHD 1920*1080 Normal")</f>
        <v>Pantalla Laptop 14.0 Slim 30pin FHD 1920*1080 Normal</v>
      </c>
      <c r="C535" s="75">
        <f ca="1">IFERROR(__xludf.DUMMYFUNCTION("""COMPUTED_VALUE"""),280)</f>
        <v>280</v>
      </c>
      <c r="D535" s="75">
        <f ca="1">IFERROR(__xludf.DUMMYFUNCTION("""COMPUTED_VALUE"""),100)</f>
        <v>100</v>
      </c>
      <c r="E535" s="76">
        <f ca="1">IFERROR(__xludf.DUMMYFUNCTION("""COMPUTED_VALUE"""),380)</f>
        <v>380</v>
      </c>
      <c r="F535" s="77">
        <f ca="1">IFERROR(__xludf.DUMMYFUNCTION("""COMPUTED_VALUE"""),20050020)</f>
        <v>20050020</v>
      </c>
      <c r="G535" s="77" t="str">
        <f t="shared" ca="1" si="2"/>
        <v>si</v>
      </c>
    </row>
    <row r="536" spans="1:7" ht="12.75" x14ac:dyDescent="0.2">
      <c r="A536" s="62">
        <f ca="1">IFERROR(__xludf.DUMMYFUNCTION("""COMPUTED_VALUE"""),20050003)</f>
        <v>20050003</v>
      </c>
      <c r="B536" s="62" t="str">
        <f ca="1">IFERROR(__xludf.DUMMYFUNCTION("""COMPUTED_VALUE"""),"Pantalla Laptop 14.0 Slim 30pin FHD 1920*1080 Normal PARA DELL ")</f>
        <v xml:space="preserve">Pantalla Laptop 14.0 Slim 30pin FHD 1920*1080 Normal PARA DELL </v>
      </c>
      <c r="C536" s="62"/>
      <c r="D536" s="62"/>
      <c r="E536" s="57"/>
      <c r="F536" s="77">
        <f ca="1">IFERROR(__xludf.DUMMYFUNCTION("""COMPUTED_VALUE"""),20050003)</f>
        <v>20050003</v>
      </c>
      <c r="G536" s="77" t="str">
        <f t="shared" ca="1" si="2"/>
        <v>si</v>
      </c>
    </row>
    <row r="537" spans="1:7" ht="12.75" x14ac:dyDescent="0.2">
      <c r="A537" s="62">
        <f ca="1">IFERROR(__xludf.DUMMYFUNCTION("""COMPUTED_VALUE"""),20050004)</f>
        <v>20050004</v>
      </c>
      <c r="B537" s="62"/>
      <c r="C537" s="62"/>
      <c r="D537" s="62"/>
      <c r="E537" s="57"/>
      <c r="F537" s="77">
        <f ca="1">IFERROR(__xludf.DUMMYFUNCTION("""COMPUTED_VALUE"""),20050004)</f>
        <v>20050004</v>
      </c>
      <c r="G537" s="77" t="str">
        <f t="shared" ca="1" si="2"/>
        <v>si</v>
      </c>
    </row>
    <row r="538" spans="1:7" ht="12.75" x14ac:dyDescent="0.2">
      <c r="A538" s="62">
        <f ca="1">IFERROR(__xludf.DUMMYFUNCTION("""COMPUTED_VALUE"""),20050008)</f>
        <v>20050008</v>
      </c>
      <c r="B538" s="62"/>
      <c r="C538" s="75">
        <f ca="1">IFERROR(__xludf.DUMMYFUNCTION("""COMPUTED_VALUE"""),0)</f>
        <v>0</v>
      </c>
      <c r="D538" s="75">
        <f ca="1">IFERROR(__xludf.DUMMYFUNCTION("""COMPUTED_VALUE"""),0)</f>
        <v>0</v>
      </c>
      <c r="E538" s="76">
        <f ca="1">IFERROR(__xludf.DUMMYFUNCTION("""COMPUTED_VALUE"""),0)</f>
        <v>0</v>
      </c>
      <c r="F538" s="77">
        <f ca="1">IFERROR(__xludf.DUMMYFUNCTION("""COMPUTED_VALUE"""),20050008)</f>
        <v>20050008</v>
      </c>
      <c r="G538" s="77" t="str">
        <f t="shared" ca="1" si="2"/>
        <v>si</v>
      </c>
    </row>
    <row r="539" spans="1:7" ht="12.75" x14ac:dyDescent="0.2">
      <c r="A539" s="62">
        <f ca="1">IFERROR(__xludf.DUMMYFUNCTION("""COMPUTED_VALUE"""),20050012)</f>
        <v>20050012</v>
      </c>
      <c r="B539" s="62"/>
      <c r="C539" s="75">
        <f ca="1">IFERROR(__xludf.DUMMYFUNCTION("""COMPUTED_VALUE"""),0)</f>
        <v>0</v>
      </c>
      <c r="D539" s="75">
        <f ca="1">IFERROR(__xludf.DUMMYFUNCTION("""COMPUTED_VALUE"""),0)</f>
        <v>0</v>
      </c>
      <c r="E539" s="76">
        <f ca="1">IFERROR(__xludf.DUMMYFUNCTION("""COMPUTED_VALUE"""),0)</f>
        <v>0</v>
      </c>
      <c r="F539" s="77">
        <f ca="1">IFERROR(__xludf.DUMMYFUNCTION("""COMPUTED_VALUE"""),20050012)</f>
        <v>20050012</v>
      </c>
      <c r="G539" s="77" t="str">
        <f t="shared" ca="1" si="2"/>
        <v>si</v>
      </c>
    </row>
    <row r="540" spans="1:7" ht="12.75" x14ac:dyDescent="0.2">
      <c r="A540" s="62">
        <f ca="1">IFERROR(__xludf.DUMMYFUNCTION("""COMPUTED_VALUE"""),20050009)</f>
        <v>20050009</v>
      </c>
      <c r="B540" s="62" t="str">
        <f ca="1">IFERROR(__xludf.DUMMYFUNCTION("""COMPUTED_VALUE"""),"Pantalla Laptop 15.6 Slim 30pin  1366*768 normal ")</f>
        <v xml:space="preserve">Pantalla Laptop 15.6 Slim 30pin  1366*768 normal </v>
      </c>
      <c r="C540" s="75">
        <f ca="1">IFERROR(__xludf.DUMMYFUNCTION("""COMPUTED_VALUE"""),350)</f>
        <v>350</v>
      </c>
      <c r="D540" s="75">
        <f ca="1">IFERROR(__xludf.DUMMYFUNCTION("""COMPUTED_VALUE"""),100)</f>
        <v>100</v>
      </c>
      <c r="E540" s="76">
        <f ca="1">IFERROR(__xludf.DUMMYFUNCTION("""COMPUTED_VALUE"""),450)</f>
        <v>450</v>
      </c>
      <c r="F540" s="77">
        <f ca="1">IFERROR(__xludf.DUMMYFUNCTION("""COMPUTED_VALUE"""),20050009)</f>
        <v>20050009</v>
      </c>
      <c r="G540" s="77" t="str">
        <f t="shared" ca="1" si="2"/>
        <v>si</v>
      </c>
    </row>
    <row r="541" spans="1:7" ht="12.75" x14ac:dyDescent="0.2">
      <c r="A541" s="62">
        <f ca="1">IFERROR(__xludf.DUMMYFUNCTION("""COMPUTED_VALUE"""),20050019)</f>
        <v>20050019</v>
      </c>
      <c r="B541" s="62" t="str">
        <f ca="1">IFERROR(__xludf.DUMMYFUNCTION("""COMPUTED_VALUE"""),"Pantalla Laptop 17.3 Slim 30pin 1600*900 Normal MATTE")</f>
        <v>Pantalla Laptop 17.3 Slim 30pin 1600*900 Normal MATTE</v>
      </c>
      <c r="C541" s="75">
        <f ca="1">IFERROR(__xludf.DUMMYFUNCTION("""COMPUTED_VALUE"""),350)</f>
        <v>350</v>
      </c>
      <c r="D541" s="75">
        <f ca="1">IFERROR(__xludf.DUMMYFUNCTION("""COMPUTED_VALUE"""),100)</f>
        <v>100</v>
      </c>
      <c r="E541" s="76">
        <f ca="1">IFERROR(__xludf.DUMMYFUNCTION("""COMPUTED_VALUE"""),450)</f>
        <v>450</v>
      </c>
      <c r="F541" s="77">
        <f ca="1">IFERROR(__xludf.DUMMYFUNCTION("""COMPUTED_VALUE"""),20050019)</f>
        <v>20050019</v>
      </c>
      <c r="G541" s="77" t="str">
        <f t="shared" ca="1" si="2"/>
        <v>si</v>
      </c>
    </row>
    <row r="542" spans="1:7" ht="12.75" x14ac:dyDescent="0.2">
      <c r="A542" s="62">
        <f ca="1">IFERROR(__xludf.DUMMYFUNCTION("""COMPUTED_VALUE"""),20050017)</f>
        <v>20050017</v>
      </c>
      <c r="B542" s="62"/>
      <c r="C542" s="62"/>
      <c r="D542" s="62"/>
      <c r="E542" s="57"/>
      <c r="F542" s="77">
        <f ca="1">IFERROR(__xludf.DUMMYFUNCTION("""COMPUTED_VALUE"""),20050017)</f>
        <v>20050017</v>
      </c>
      <c r="G542" s="77" t="str">
        <f t="shared" ca="1" si="2"/>
        <v>si</v>
      </c>
    </row>
    <row r="543" spans="1:7" ht="12.75" x14ac:dyDescent="0.2">
      <c r="A543" s="62">
        <f ca="1">IFERROR(__xludf.DUMMYFUNCTION("""COMPUTED_VALUE"""),20050018)</f>
        <v>20050018</v>
      </c>
      <c r="B543" s="62" t="str">
        <f ca="1">IFERROR(__xludf.DUMMYFUNCTION("""COMPUTED_VALUE"""),"Pantalla Laptop 17.3 LED 40pin 1600*900 Normal ")</f>
        <v xml:space="preserve">Pantalla Laptop 17.3 LED 40pin 1600*900 Normal </v>
      </c>
      <c r="C543" s="75">
        <f ca="1">IFERROR(__xludf.DUMMYFUNCTION("""COMPUTED_VALUE"""),330)</f>
        <v>330</v>
      </c>
      <c r="D543" s="75">
        <f ca="1">IFERROR(__xludf.DUMMYFUNCTION("""COMPUTED_VALUE"""),50)</f>
        <v>50</v>
      </c>
      <c r="E543" s="76">
        <f ca="1">IFERROR(__xludf.DUMMYFUNCTION("""COMPUTED_VALUE"""),380)</f>
        <v>380</v>
      </c>
      <c r="F543" s="77">
        <f ca="1">IFERROR(__xludf.DUMMYFUNCTION("""COMPUTED_VALUE"""),20050018)</f>
        <v>20050018</v>
      </c>
      <c r="G543" s="77" t="str">
        <f t="shared" ca="1" si="2"/>
        <v>si</v>
      </c>
    </row>
    <row r="544" spans="1:7" ht="12.75" x14ac:dyDescent="0.2">
      <c r="A544" s="62">
        <f ca="1">IFERROR(__xludf.DUMMYFUNCTION("""COMPUTED_VALUE"""),20050010)</f>
        <v>20050010</v>
      </c>
      <c r="B544" s="62"/>
      <c r="C544" s="75">
        <f ca="1">IFERROR(__xludf.DUMMYFUNCTION("""COMPUTED_VALUE"""),0)</f>
        <v>0</v>
      </c>
      <c r="D544" s="75">
        <f ca="1">IFERROR(__xludf.DUMMYFUNCTION("""COMPUTED_VALUE"""),0)</f>
        <v>0</v>
      </c>
      <c r="E544" s="76">
        <f ca="1">IFERROR(__xludf.DUMMYFUNCTION("""COMPUTED_VALUE"""),0)</f>
        <v>0</v>
      </c>
      <c r="F544" s="77">
        <f ca="1">IFERROR(__xludf.DUMMYFUNCTION("""COMPUTED_VALUE"""),20050010)</f>
        <v>20050010</v>
      </c>
      <c r="G544" s="77" t="str">
        <f t="shared" ca="1" si="2"/>
        <v>si</v>
      </c>
    </row>
    <row r="545" spans="1:7" ht="12.75" x14ac:dyDescent="0.2">
      <c r="A545" s="62">
        <f ca="1">IFERROR(__xludf.DUMMYFUNCTION("""COMPUTED_VALUE"""),20050011)</f>
        <v>20050011</v>
      </c>
      <c r="B545" s="62"/>
      <c r="C545" s="75">
        <f ca="1">IFERROR(__xludf.DUMMYFUNCTION("""COMPUTED_VALUE"""),0)</f>
        <v>0</v>
      </c>
      <c r="D545" s="75">
        <f ca="1">IFERROR(__xludf.DUMMYFUNCTION("""COMPUTED_VALUE"""),0)</f>
        <v>0</v>
      </c>
      <c r="E545" s="76">
        <f ca="1">IFERROR(__xludf.DUMMYFUNCTION("""COMPUTED_VALUE"""),0)</f>
        <v>0</v>
      </c>
      <c r="F545" s="77">
        <f ca="1">IFERROR(__xludf.DUMMYFUNCTION("""COMPUTED_VALUE"""),20050011)</f>
        <v>20050011</v>
      </c>
      <c r="G545" s="77" t="str">
        <f t="shared" ca="1" si="2"/>
        <v>si</v>
      </c>
    </row>
    <row r="546" spans="1:7" ht="12.75" x14ac:dyDescent="0.2">
      <c r="A546" s="62">
        <f ca="1">IFERROR(__xludf.DUMMYFUNCTION("""COMPUTED_VALUE"""),20050006)</f>
        <v>20050006</v>
      </c>
      <c r="B546" s="62" t="str">
        <f ca="1">IFERROR(__xludf.DUMMYFUNCTION("""COMPUTED_VALUE"""),"Pantalla Laptop 15.6 30pin 1920*1080 LED")</f>
        <v>Pantalla Laptop 15.6 30pin 1920*1080 LED</v>
      </c>
      <c r="C546" s="75">
        <f ca="1">IFERROR(__xludf.DUMMYFUNCTION("""COMPUTED_VALUE"""),310)</f>
        <v>310</v>
      </c>
      <c r="D546" s="75">
        <f ca="1">IFERROR(__xludf.DUMMYFUNCTION("""COMPUTED_VALUE"""),100)</f>
        <v>100</v>
      </c>
      <c r="E546" s="76">
        <f ca="1">IFERROR(__xludf.DUMMYFUNCTION("""COMPUTED_VALUE"""),410)</f>
        <v>410</v>
      </c>
      <c r="F546" s="77">
        <f ca="1">IFERROR(__xludf.DUMMYFUNCTION("""COMPUTED_VALUE"""),20050006)</f>
        <v>20050006</v>
      </c>
      <c r="G546" s="77" t="str">
        <f t="shared" ca="1" si="2"/>
        <v>si</v>
      </c>
    </row>
    <row r="547" spans="1:7" ht="12.75" x14ac:dyDescent="0.2">
      <c r="A547" s="62">
        <f ca="1">IFERROR(__xludf.DUMMYFUNCTION("""COMPUTED_VALUE"""),20050007)</f>
        <v>20050007</v>
      </c>
      <c r="B547" s="62" t="str">
        <f ca="1">IFERROR(__xludf.DUMMYFUNCTION("""COMPUTED_VALUE"""),"Pantalla Laptop 15.6 40pin 1920*1080 LED")</f>
        <v>Pantalla Laptop 15.6 40pin 1920*1080 LED</v>
      </c>
      <c r="C547" s="75">
        <f ca="1">IFERROR(__xludf.DUMMYFUNCTION("""COMPUTED_VALUE"""),310)</f>
        <v>310</v>
      </c>
      <c r="D547" s="75">
        <f ca="1">IFERROR(__xludf.DUMMYFUNCTION("""COMPUTED_VALUE"""),100)</f>
        <v>100</v>
      </c>
      <c r="E547" s="76">
        <f ca="1">IFERROR(__xludf.DUMMYFUNCTION("""COMPUTED_VALUE"""),410)</f>
        <v>410</v>
      </c>
      <c r="F547" s="77">
        <f ca="1">IFERROR(__xludf.DUMMYFUNCTION("""COMPUTED_VALUE"""),20050007)</f>
        <v>20050007</v>
      </c>
      <c r="G547" s="77" t="str">
        <f t="shared" ca="1" si="2"/>
        <v>si</v>
      </c>
    </row>
    <row r="548" spans="1:7" ht="12.75" x14ac:dyDescent="0.2">
      <c r="A548" s="62">
        <f ca="1">IFERROR(__xludf.DUMMYFUNCTION("""COMPUTED_VALUE"""),20050034)</f>
        <v>20050034</v>
      </c>
      <c r="B548" s="62" t="str">
        <f ca="1">IFERROR(__xludf.DUMMYFUNCTION("""COMPUTED_VALUE"""),"Pantalla Laptop 17.3 30pin 1920*1080 LED")</f>
        <v>Pantalla Laptop 17.3 30pin 1920*1080 LED</v>
      </c>
      <c r="C548" s="75">
        <f ca="1">IFERROR(__xludf.DUMMYFUNCTION("""COMPUTED_VALUE"""),310)</f>
        <v>310</v>
      </c>
      <c r="D548" s="75">
        <f ca="1">IFERROR(__xludf.DUMMYFUNCTION("""COMPUTED_VALUE"""),100)</f>
        <v>100</v>
      </c>
      <c r="E548" s="76">
        <f ca="1">IFERROR(__xludf.DUMMYFUNCTION("""COMPUTED_VALUE"""),410)</f>
        <v>410</v>
      </c>
      <c r="F548" s="77">
        <f ca="1">IFERROR(__xludf.DUMMYFUNCTION("""COMPUTED_VALUE"""),20050034)</f>
        <v>20050034</v>
      </c>
      <c r="G548" s="77" t="str">
        <f t="shared" ca="1" si="2"/>
        <v>si</v>
      </c>
    </row>
    <row r="549" spans="1:7" ht="12.75" x14ac:dyDescent="0.2">
      <c r="A549" s="62">
        <f ca="1">IFERROR(__xludf.DUMMYFUNCTION("""COMPUTED_VALUE"""),20050016)</f>
        <v>20050016</v>
      </c>
      <c r="B549" s="62" t="str">
        <f ca="1">IFERROR(__xludf.DUMMYFUNCTION("""COMPUTED_VALUE"""),"Pantalla Laptop 17.3 40pin 1920*1080 LED")</f>
        <v>Pantalla Laptop 17.3 40pin 1920*1080 LED</v>
      </c>
      <c r="C549" s="75">
        <f ca="1">IFERROR(__xludf.DUMMYFUNCTION("""COMPUTED_VALUE"""),390)</f>
        <v>390</v>
      </c>
      <c r="D549" s="75">
        <f ca="1">IFERROR(__xludf.DUMMYFUNCTION("""COMPUTED_VALUE"""),100)</f>
        <v>100</v>
      </c>
      <c r="E549" s="76">
        <f ca="1">IFERROR(__xludf.DUMMYFUNCTION("""COMPUTED_VALUE"""),490)</f>
        <v>490</v>
      </c>
      <c r="F549" s="77">
        <f ca="1">IFERROR(__xludf.DUMMYFUNCTION("""COMPUTED_VALUE"""),20050016)</f>
        <v>20050016</v>
      </c>
      <c r="G549" s="77" t="str">
        <f t="shared" ca="1" si="2"/>
        <v>si</v>
      </c>
    </row>
    <row r="550" spans="1:7" ht="12.75" x14ac:dyDescent="0.2">
      <c r="A550" s="62">
        <f ca="1">IFERROR(__xludf.DUMMYFUNCTION("""COMPUTED_VALUE"""),20050015)</f>
        <v>20050015</v>
      </c>
      <c r="B550" s="62" t="str">
        <f ca="1">IFERROR(__xludf.DUMMYFUNCTION("""COMPUTED_VALUE"""),"Pantalla Laptop 17.3 30pin 1920*1080 Slim")</f>
        <v>Pantalla Laptop 17.3 30pin 1920*1080 Slim</v>
      </c>
      <c r="C550" s="75">
        <f ca="1">IFERROR(__xludf.DUMMYFUNCTION("""COMPUTED_VALUE"""),310)</f>
        <v>310</v>
      </c>
      <c r="D550" s="75">
        <f ca="1">IFERROR(__xludf.DUMMYFUNCTION("""COMPUTED_VALUE"""),100)</f>
        <v>100</v>
      </c>
      <c r="E550" s="76">
        <f ca="1">IFERROR(__xludf.DUMMYFUNCTION("""COMPUTED_VALUE"""),410)</f>
        <v>410</v>
      </c>
      <c r="F550" s="77">
        <f ca="1">IFERROR(__xludf.DUMMYFUNCTION("""COMPUTED_VALUE"""),20050015)</f>
        <v>20050015</v>
      </c>
      <c r="G550" s="77" t="str">
        <f t="shared" ca="1" si="2"/>
        <v>si</v>
      </c>
    </row>
    <row r="551" spans="1:7" ht="12.75" x14ac:dyDescent="0.2">
      <c r="A551" s="62">
        <f ca="1">IFERROR(__xludf.DUMMYFUNCTION("""COMPUTED_VALUE"""),20050036)</f>
        <v>20050036</v>
      </c>
      <c r="B551" s="62" t="str">
        <f ca="1">IFERROR(__xludf.DUMMYFUNCTION("""COMPUTED_VALUE"""),"Pantalla Laptop 15.6 40pin FHD 1920x1080 IPS Reducida B156HAN08.2 ")</f>
        <v xml:space="preserve">Pantalla Laptop 15.6 40pin FHD 1920x1080 IPS Reducida B156HAN08.2 </v>
      </c>
      <c r="C551" s="75">
        <f ca="1">IFERROR(__xludf.DUMMYFUNCTION("""COMPUTED_VALUE"""),450)</f>
        <v>450</v>
      </c>
      <c r="D551" s="75">
        <f ca="1">IFERROR(__xludf.DUMMYFUNCTION("""COMPUTED_VALUE"""),100)</f>
        <v>100</v>
      </c>
      <c r="E551" s="76">
        <f ca="1">IFERROR(__xludf.DUMMYFUNCTION("""COMPUTED_VALUE"""),550)</f>
        <v>550</v>
      </c>
      <c r="F551" s="77">
        <f ca="1">IFERROR(__xludf.DUMMYFUNCTION("""COMPUTED_VALUE"""),20050036)</f>
        <v>20050036</v>
      </c>
      <c r="G551" s="77" t="str">
        <f t="shared" ca="1" si="2"/>
        <v>si</v>
      </c>
    </row>
    <row r="552" spans="1:7" ht="12.75" x14ac:dyDescent="0.2">
      <c r="A552" s="62">
        <f ca="1">IFERROR(__xludf.DUMMYFUNCTION("""COMPUTED_VALUE"""),20050037)</f>
        <v>20050037</v>
      </c>
      <c r="B552" s="62" t="str">
        <f ca="1">IFERROR(__xludf.DUMMYFUNCTION("""COMPUTED_VALUE"""),"Pantalla Laptop 15.6 30Pin HD 1366x768 Reducida N156BGA-EA3 REV.C2 ")</f>
        <v xml:space="preserve">Pantalla Laptop 15.6 30Pin HD 1366x768 Reducida N156BGA-EA3 REV.C2 </v>
      </c>
      <c r="C552" s="75">
        <f ca="1">IFERROR(__xludf.DUMMYFUNCTION("""COMPUTED_VALUE"""),370)</f>
        <v>370</v>
      </c>
      <c r="D552" s="75">
        <f ca="1">IFERROR(__xludf.DUMMYFUNCTION("""COMPUTED_VALUE"""),100)</f>
        <v>100</v>
      </c>
      <c r="E552" s="76">
        <f ca="1">IFERROR(__xludf.DUMMYFUNCTION("""COMPUTED_VALUE"""),470)</f>
        <v>470</v>
      </c>
      <c r="F552" s="77">
        <f ca="1">IFERROR(__xludf.DUMMYFUNCTION("""COMPUTED_VALUE"""),20050037)</f>
        <v>20050037</v>
      </c>
      <c r="G552" s="77" t="str">
        <f t="shared" ca="1" si="2"/>
        <v>si</v>
      </c>
    </row>
    <row r="553" spans="1:7" ht="12.75" x14ac:dyDescent="0.2">
      <c r="A553" s="62">
        <f ca="1">IFERROR(__xludf.DUMMYFUNCTION("""COMPUTED_VALUE"""),20050038)</f>
        <v>20050038</v>
      </c>
      <c r="B553" s="62" t="str">
        <f ca="1">IFERROR(__xludf.DUMMYFUNCTION("""COMPUTED_VALUE"""),"Pantalla Laptop 14.0 Slim 30pin HD 1366x768 Reducida")</f>
        <v>Pantalla Laptop 14.0 Slim 30pin HD 1366x768 Reducida</v>
      </c>
      <c r="C553" s="75">
        <f ca="1">IFERROR(__xludf.DUMMYFUNCTION("""COMPUTED_VALUE"""),370)</f>
        <v>370</v>
      </c>
      <c r="D553" s="75">
        <f ca="1">IFERROR(__xludf.DUMMYFUNCTION("""COMPUTED_VALUE"""),100)</f>
        <v>100</v>
      </c>
      <c r="E553" s="76">
        <f ca="1">IFERROR(__xludf.DUMMYFUNCTION("""COMPUTED_VALUE"""),470)</f>
        <v>470</v>
      </c>
      <c r="F553" s="77">
        <f ca="1">IFERROR(__xludf.DUMMYFUNCTION("""COMPUTED_VALUE"""),20050038)</f>
        <v>20050038</v>
      </c>
      <c r="G553" s="77" t="str">
        <f t="shared" ca="1" si="2"/>
        <v>si</v>
      </c>
    </row>
    <row r="554" spans="1:7" ht="12.75" x14ac:dyDescent="0.2">
      <c r="A554" s="62">
        <f ca="1">IFERROR(__xludf.DUMMYFUNCTION("""COMPUTED_VALUE"""),20050039)</f>
        <v>20050039</v>
      </c>
      <c r="B554" s="62" t="str">
        <f ca="1">IFERROR(__xludf.DUMMYFUNCTION("""COMPUTED_VALUE"""),"Pantalla Laptop Lenovo Tactil Yoga 710-15 Full ")</f>
        <v xml:space="preserve">Pantalla Laptop Lenovo Tactil Yoga 710-15 Full </v>
      </c>
      <c r="C554" s="75">
        <f ca="1">IFERROR(__xludf.DUMMYFUNCTION("""COMPUTED_VALUE"""),590)</f>
        <v>590</v>
      </c>
      <c r="D554" s="75">
        <f ca="1">IFERROR(__xludf.DUMMYFUNCTION("""COMPUTED_VALUE"""),100)</f>
        <v>100</v>
      </c>
      <c r="E554" s="76">
        <f ca="1">IFERROR(__xludf.DUMMYFUNCTION("""COMPUTED_VALUE"""),690)</f>
        <v>690</v>
      </c>
      <c r="F554" s="77">
        <f ca="1">IFERROR(__xludf.DUMMYFUNCTION("""COMPUTED_VALUE"""),20050039)</f>
        <v>20050039</v>
      </c>
      <c r="G554" s="77" t="str">
        <f t="shared" ca="1" si="2"/>
        <v>si</v>
      </c>
    </row>
    <row r="555" spans="1:7" ht="12.75" x14ac:dyDescent="0.2">
      <c r="A555" s="62">
        <f ca="1">IFERROR(__xludf.DUMMYFUNCTION("""COMPUTED_VALUE"""),10080233)</f>
        <v>10080233</v>
      </c>
      <c r="B555" s="62" t="str">
        <f ca="1">IFERROR(__xludf.DUMMYFUNCTION("""COMPUTED_VALUE"""),"Pantalla NT156WHM-T02 V8.0 15.6 + Tactil ")</f>
        <v xml:space="preserve">Pantalla NT156WHM-T02 V8.0 15.6 + Tactil </v>
      </c>
      <c r="C555" s="75">
        <f ca="1">IFERROR(__xludf.DUMMYFUNCTION("""COMPUTED_VALUE"""),520)</f>
        <v>520</v>
      </c>
      <c r="D555" s="75">
        <f ca="1">IFERROR(__xludf.DUMMYFUNCTION("""COMPUTED_VALUE"""),100)</f>
        <v>100</v>
      </c>
      <c r="E555" s="76">
        <f ca="1">IFERROR(__xludf.DUMMYFUNCTION("""COMPUTED_VALUE"""),620)</f>
        <v>620</v>
      </c>
      <c r="F555" s="77">
        <f ca="1">IFERROR(__xludf.DUMMYFUNCTION("""COMPUTED_VALUE"""),10080233)</f>
        <v>10080233</v>
      </c>
      <c r="G555" s="77" t="str">
        <f t="shared" ca="1" si="2"/>
        <v>si</v>
      </c>
    </row>
    <row r="556" spans="1:7" ht="12.75" x14ac:dyDescent="0.2">
      <c r="A556" s="62">
        <f ca="1">IFERROR(__xludf.DUMMYFUNCTION("""COMPUTED_VALUE"""),10160055)</f>
        <v>10160055</v>
      </c>
      <c r="B556" s="62" t="str">
        <f ca="1">IFERROR(__xludf.DUMMYFUNCTION("""COMPUTED_VALUE"""),"Pantalla N133HCE-EAA 13.3 + Tactil 30 pines ")</f>
        <v xml:space="preserve">Pantalla N133HCE-EAA 13.3 + Tactil 30 pines </v>
      </c>
      <c r="C556" s="75">
        <f ca="1">IFERROR(__xludf.DUMMYFUNCTION("""COMPUTED_VALUE"""),550)</f>
        <v>550</v>
      </c>
      <c r="D556" s="75">
        <f ca="1">IFERROR(__xludf.DUMMYFUNCTION("""COMPUTED_VALUE"""),100)</f>
        <v>100</v>
      </c>
      <c r="E556" s="76">
        <f ca="1">IFERROR(__xludf.DUMMYFUNCTION("""COMPUTED_VALUE"""),650)</f>
        <v>650</v>
      </c>
      <c r="F556" s="77">
        <f ca="1">IFERROR(__xludf.DUMMYFUNCTION("""COMPUTED_VALUE"""),10160055)</f>
        <v>10160055</v>
      </c>
      <c r="G556" s="77" t="str">
        <f t="shared" ca="1" si="2"/>
        <v>si</v>
      </c>
    </row>
    <row r="557" spans="1:7" ht="12.75" x14ac:dyDescent="0.2">
      <c r="A557" s="62">
        <f ca="1">IFERROR(__xludf.DUMMYFUNCTION("""COMPUTED_VALUE"""),10010404)</f>
        <v>10010404</v>
      </c>
      <c r="B557" s="62" t="str">
        <f ca="1">IFERROR(__xludf.DUMMYFUNCTION("""COMPUTED_VALUE"""),"Pantalla NV133FHM-A11 13.3 + Tactil 40 pines ")</f>
        <v xml:space="preserve">Pantalla NV133FHM-A11 13.3 + Tactil 40 pines </v>
      </c>
      <c r="C557" s="75">
        <f ca="1">IFERROR(__xludf.DUMMYFUNCTION("""COMPUTED_VALUE"""),550)</f>
        <v>550</v>
      </c>
      <c r="D557" s="75">
        <f ca="1">IFERROR(__xludf.DUMMYFUNCTION("""COMPUTED_VALUE"""),100)</f>
        <v>100</v>
      </c>
      <c r="E557" s="76">
        <f ca="1">IFERROR(__xludf.DUMMYFUNCTION("""COMPUTED_VALUE"""),650)</f>
        <v>650</v>
      </c>
      <c r="F557" s="77">
        <f ca="1">IFERROR(__xludf.DUMMYFUNCTION("""COMPUTED_VALUE"""),10010404)</f>
        <v>10010404</v>
      </c>
      <c r="G557" s="77" t="str">
        <f t="shared" ca="1" si="2"/>
        <v>si</v>
      </c>
    </row>
    <row r="558" spans="1:7" ht="12.75" x14ac:dyDescent="0.2">
      <c r="A558" s="62">
        <f ca="1">IFERROR(__xludf.DUMMYFUNCTION("""COMPUTED_VALUE"""),20050032)</f>
        <v>20050032</v>
      </c>
      <c r="B558" s="62" t="str">
        <f ca="1">IFERROR(__xludf.DUMMYFUNCTION("""COMPUTED_VALUE"""),"Pantalla Surface Pro 5/6")</f>
        <v>Pantalla Surface Pro 5/6</v>
      </c>
      <c r="C558" s="75">
        <f ca="1">IFERROR(__xludf.DUMMYFUNCTION("""COMPUTED_VALUE"""),580)</f>
        <v>580</v>
      </c>
      <c r="D558" s="75">
        <f ca="1">IFERROR(__xludf.DUMMYFUNCTION("""COMPUTED_VALUE"""),100)</f>
        <v>100</v>
      </c>
      <c r="E558" s="76">
        <f ca="1">IFERROR(__xludf.DUMMYFUNCTION("""COMPUTED_VALUE"""),680)</f>
        <v>680</v>
      </c>
      <c r="F558" s="77">
        <f ca="1">IFERROR(__xludf.DUMMYFUNCTION("""COMPUTED_VALUE"""),20050032)</f>
        <v>20050032</v>
      </c>
      <c r="G558" s="77" t="str">
        <f t="shared" ca="1" si="2"/>
        <v>si</v>
      </c>
    </row>
    <row r="559" spans="1:7" ht="12.75" x14ac:dyDescent="0.2">
      <c r="A559" s="62">
        <f ca="1">IFERROR(__xludf.DUMMYFUNCTION("""COMPUTED_VALUE"""),20050033)</f>
        <v>20050033</v>
      </c>
      <c r="B559" s="62" t="str">
        <f ca="1">IFERROR(__xludf.DUMMYFUNCTION("""COMPUTED_VALUE"""),"Pantalla Surface Pro 7")</f>
        <v>Pantalla Surface Pro 7</v>
      </c>
      <c r="C559" s="75">
        <f ca="1">IFERROR(__xludf.DUMMYFUNCTION("""COMPUTED_VALUE"""),620)</f>
        <v>620</v>
      </c>
      <c r="D559" s="75">
        <f ca="1">IFERROR(__xludf.DUMMYFUNCTION("""COMPUTED_VALUE"""),100)</f>
        <v>100</v>
      </c>
      <c r="E559" s="76">
        <f ca="1">IFERROR(__xludf.DUMMYFUNCTION("""COMPUTED_VALUE"""),720)</f>
        <v>720</v>
      </c>
      <c r="F559" s="77">
        <f ca="1">IFERROR(__xludf.DUMMYFUNCTION("""COMPUTED_VALUE"""),20050033)</f>
        <v>20050033</v>
      </c>
      <c r="G559" s="77" t="str">
        <f t="shared" ca="1" si="2"/>
        <v>si</v>
      </c>
    </row>
    <row r="560" spans="1:7" ht="12.75" x14ac:dyDescent="0.2">
      <c r="A560" s="62">
        <f ca="1">IFERROR(__xludf.DUMMYFUNCTION("""COMPUTED_VALUE"""),20050028)</f>
        <v>20050028</v>
      </c>
      <c r="B560" s="62"/>
      <c r="C560" s="75">
        <f ca="1">IFERROR(__xludf.DUMMYFUNCTION("""COMPUTED_VALUE"""),0)</f>
        <v>0</v>
      </c>
      <c r="D560" s="75">
        <f ca="1">IFERROR(__xludf.DUMMYFUNCTION("""COMPUTED_VALUE"""),0)</f>
        <v>0</v>
      </c>
      <c r="E560" s="76">
        <f ca="1">IFERROR(__xludf.DUMMYFUNCTION("""COMPUTED_VALUE"""),0)</f>
        <v>0</v>
      </c>
      <c r="F560" s="77">
        <f ca="1">IFERROR(__xludf.DUMMYFUNCTION("""COMPUTED_VALUE"""),20050028)</f>
        <v>20050028</v>
      </c>
      <c r="G560" s="77" t="str">
        <f t="shared" ca="1" si="2"/>
        <v>si</v>
      </c>
    </row>
    <row r="561" spans="1:7" ht="12.75" x14ac:dyDescent="0.2">
      <c r="A561" s="62"/>
      <c r="B561" s="62"/>
      <c r="C561" s="75">
        <f ca="1">IFERROR(__xludf.DUMMYFUNCTION("""COMPUTED_VALUE"""),0)</f>
        <v>0</v>
      </c>
      <c r="D561" s="75">
        <f ca="1">IFERROR(__xludf.DUMMYFUNCTION("""COMPUTED_VALUE"""),0)</f>
        <v>0</v>
      </c>
      <c r="E561" s="76">
        <f ca="1">IFERROR(__xludf.DUMMYFUNCTION("""COMPUTED_VALUE"""),0)</f>
        <v>0</v>
      </c>
      <c r="F561" s="77"/>
      <c r="G561" s="77" t="str">
        <f t="shared" si="2"/>
        <v>si</v>
      </c>
    </row>
    <row r="562" spans="1:7" ht="12.75" x14ac:dyDescent="0.2">
      <c r="A562" s="62">
        <f ca="1">IFERROR(__xludf.DUMMYFUNCTION("""COMPUTED_VALUE"""),20050030)</f>
        <v>20050030</v>
      </c>
      <c r="B562" s="62"/>
      <c r="C562" s="75">
        <f ca="1">IFERROR(__xludf.DUMMYFUNCTION("""COMPUTED_VALUE"""),0)</f>
        <v>0</v>
      </c>
      <c r="D562" s="75">
        <f ca="1">IFERROR(__xludf.DUMMYFUNCTION("""COMPUTED_VALUE"""),0)</f>
        <v>0</v>
      </c>
      <c r="E562" s="76">
        <f ca="1">IFERROR(__xludf.DUMMYFUNCTION("""COMPUTED_VALUE"""),0)</f>
        <v>0</v>
      </c>
      <c r="F562" s="77">
        <f ca="1">IFERROR(__xludf.DUMMYFUNCTION("""COMPUTED_VALUE"""),20050030)</f>
        <v>20050030</v>
      </c>
      <c r="G562" s="77" t="str">
        <f t="shared" ca="1" si="2"/>
        <v>si</v>
      </c>
    </row>
    <row r="563" spans="1:7" ht="12.75" x14ac:dyDescent="0.2">
      <c r="A563" s="62">
        <f ca="1">IFERROR(__xludf.DUMMYFUNCTION("""COMPUTED_VALUE"""),20050031)</f>
        <v>20050031</v>
      </c>
      <c r="B563" s="62"/>
      <c r="C563" s="75">
        <f ca="1">IFERROR(__xludf.DUMMYFUNCTION("""COMPUTED_VALUE"""),0)</f>
        <v>0</v>
      </c>
      <c r="D563" s="75">
        <f ca="1">IFERROR(__xludf.DUMMYFUNCTION("""COMPUTED_VALUE"""),0)</f>
        <v>0</v>
      </c>
      <c r="E563" s="76">
        <f ca="1">IFERROR(__xludf.DUMMYFUNCTION("""COMPUTED_VALUE"""),0)</f>
        <v>0</v>
      </c>
      <c r="F563" s="77">
        <f ca="1">IFERROR(__xludf.DUMMYFUNCTION("""COMPUTED_VALUE"""),20050031)</f>
        <v>20050031</v>
      </c>
      <c r="G563" s="77" t="str">
        <f t="shared" ca="1" si="2"/>
        <v>si</v>
      </c>
    </row>
    <row r="564" spans="1:7" ht="12.75" x14ac:dyDescent="0.2">
      <c r="A564" s="62">
        <f ca="1">IFERROR(__xludf.DUMMYFUNCTION("""COMPUTED_VALUE"""),20050013)</f>
        <v>20050013</v>
      </c>
      <c r="B564" s="62"/>
      <c r="C564" s="75">
        <f ca="1">IFERROR(__xludf.DUMMYFUNCTION("""COMPUTED_VALUE"""),0)</f>
        <v>0</v>
      </c>
      <c r="D564" s="75">
        <f ca="1">IFERROR(__xludf.DUMMYFUNCTION("""COMPUTED_VALUE"""),0)</f>
        <v>0</v>
      </c>
      <c r="E564" s="76">
        <f ca="1">IFERROR(__xludf.DUMMYFUNCTION("""COMPUTED_VALUE"""),0)</f>
        <v>0</v>
      </c>
      <c r="F564" s="77">
        <f ca="1">IFERROR(__xludf.DUMMYFUNCTION("""COMPUTED_VALUE"""),20050013)</f>
        <v>20050013</v>
      </c>
      <c r="G564" s="77" t="str">
        <f t="shared" ca="1" si="2"/>
        <v>si</v>
      </c>
    </row>
    <row r="565" spans="1:7" ht="12.75" x14ac:dyDescent="0.2">
      <c r="A565" s="62">
        <f ca="1">IFERROR(__xludf.DUMMYFUNCTION("""COMPUTED_VALUE"""),20050001)</f>
        <v>20050001</v>
      </c>
      <c r="B565" s="62"/>
      <c r="C565" s="62"/>
      <c r="D565" s="62"/>
      <c r="E565" s="57"/>
      <c r="F565" s="77">
        <f ca="1">IFERROR(__xludf.DUMMYFUNCTION("""COMPUTED_VALUE"""),20050001)</f>
        <v>20050001</v>
      </c>
      <c r="G565" s="77" t="str">
        <f t="shared" ca="1" si="2"/>
        <v>si</v>
      </c>
    </row>
    <row r="566" spans="1:7" ht="12.75" x14ac:dyDescent="0.2">
      <c r="A566" s="62">
        <f ca="1">IFERROR(__xludf.DUMMYFUNCTION("""COMPUTED_VALUE"""),20050024)</f>
        <v>20050024</v>
      </c>
      <c r="B566" s="62" t="str">
        <f ca="1">IFERROR(__xludf.DUMMYFUNCTION("""COMPUTED_VALUE"""),"Touch 15.6"" Táctil Asus VivoBook Flip TP501U TP501UA TP501UQ")</f>
        <v>Touch 15.6" Táctil Asus VivoBook Flip TP501U TP501UA TP501UQ</v>
      </c>
      <c r="C566" s="75">
        <f ca="1">IFERROR(__xludf.DUMMYFUNCTION("""COMPUTED_VALUE"""),190)</f>
        <v>190</v>
      </c>
      <c r="D566" s="75">
        <f ca="1">IFERROR(__xludf.DUMMYFUNCTION("""COMPUTED_VALUE"""),100)</f>
        <v>100</v>
      </c>
      <c r="E566" s="76">
        <f ca="1">IFERROR(__xludf.DUMMYFUNCTION("""COMPUTED_VALUE"""),290)</f>
        <v>290</v>
      </c>
      <c r="F566" s="77">
        <f ca="1">IFERROR(__xludf.DUMMYFUNCTION("""COMPUTED_VALUE"""),20050024)</f>
        <v>20050024</v>
      </c>
      <c r="G566" s="77" t="str">
        <f t="shared" ca="1" si="2"/>
        <v>si</v>
      </c>
    </row>
    <row r="567" spans="1:7" ht="12.75" x14ac:dyDescent="0.2">
      <c r="A567" s="62">
        <f ca="1">IFERROR(__xludf.DUMMYFUNCTION("""COMPUTED_VALUE"""),20050022)</f>
        <v>20050022</v>
      </c>
      <c r="B567" s="62" t="str">
        <f ca="1">IFERROR(__xludf.DUMMYFUNCTION("""COMPUTED_VALUE"""),"Touch Toshiba s55t-b5233 Touchscreen Assembly 15.6")</f>
        <v>Touch Toshiba s55t-b5233 Touchscreen Assembly 15.6</v>
      </c>
      <c r="C567" s="75">
        <f ca="1">IFERROR(__xludf.DUMMYFUNCTION("""COMPUTED_VALUE"""),170)</f>
        <v>170</v>
      </c>
      <c r="D567" s="75">
        <f ca="1">IFERROR(__xludf.DUMMYFUNCTION("""COMPUTED_VALUE"""),100)</f>
        <v>100</v>
      </c>
      <c r="E567" s="76">
        <f ca="1">IFERROR(__xludf.DUMMYFUNCTION("""COMPUTED_VALUE"""),270)</f>
        <v>270</v>
      </c>
      <c r="F567" s="77">
        <f ca="1">IFERROR(__xludf.DUMMYFUNCTION("""COMPUTED_VALUE"""),20050022)</f>
        <v>20050022</v>
      </c>
      <c r="G567" s="77" t="str">
        <f t="shared" ca="1" si="2"/>
        <v>si</v>
      </c>
    </row>
    <row r="568" spans="1:7" ht="12.75" x14ac:dyDescent="0.2">
      <c r="A568" s="62">
        <f ca="1">IFERROR(__xludf.DUMMYFUNCTION("""COMPUTED_VALUE"""),20050021)</f>
        <v>20050021</v>
      </c>
      <c r="B568" s="62" t="str">
        <f ca="1">IFERROR(__xludf.DUMMYFUNCTION("""COMPUTED_VALUE"""),"Touch Screen Toshiba Satellite 15.6''  S55T-C5165 S55T-C5249")</f>
        <v>Touch Screen Toshiba Satellite 15.6''  S55T-C5165 S55T-C5249</v>
      </c>
      <c r="C568" s="75">
        <f ca="1">IFERROR(__xludf.DUMMYFUNCTION("""COMPUTED_VALUE"""),180)</f>
        <v>180</v>
      </c>
      <c r="D568" s="75">
        <f ca="1">IFERROR(__xludf.DUMMYFUNCTION("""COMPUTED_VALUE"""),100)</f>
        <v>100</v>
      </c>
      <c r="E568" s="76">
        <f ca="1">IFERROR(__xludf.DUMMYFUNCTION("""COMPUTED_VALUE"""),280)</f>
        <v>280</v>
      </c>
      <c r="F568" s="77">
        <f ca="1">IFERROR(__xludf.DUMMYFUNCTION("""COMPUTED_VALUE"""),20050021)</f>
        <v>20050021</v>
      </c>
      <c r="G568" s="77" t="str">
        <f t="shared" ca="1" si="2"/>
        <v>si</v>
      </c>
    </row>
    <row r="569" spans="1:7" ht="12.75" x14ac:dyDescent="0.2">
      <c r="A569" s="62">
        <f ca="1">IFERROR(__xludf.DUMMYFUNCTION("""COMPUTED_VALUE"""),20050023)</f>
        <v>20050023</v>
      </c>
      <c r="B569" s="62" t="str">
        <f ca="1">IFERROR(__xludf.DUMMYFUNCTION("""COMPUTED_VALUE"""),"Touchscreen P55T-A5116 P55T-A5118 P55T-A5105SL  glass digitizer")</f>
        <v>Touchscreen P55T-A5116 P55T-A5118 P55T-A5105SL  glass digitizer</v>
      </c>
      <c r="C569" s="75">
        <f ca="1">IFERROR(__xludf.DUMMYFUNCTION("""COMPUTED_VALUE"""),180)</f>
        <v>180</v>
      </c>
      <c r="D569" s="75">
        <f ca="1">IFERROR(__xludf.DUMMYFUNCTION("""COMPUTED_VALUE"""),100)</f>
        <v>100</v>
      </c>
      <c r="E569" s="76">
        <f ca="1">IFERROR(__xludf.DUMMYFUNCTION("""COMPUTED_VALUE"""),280)</f>
        <v>280</v>
      </c>
      <c r="F569" s="77">
        <f ca="1">IFERROR(__xludf.DUMMYFUNCTION("""COMPUTED_VALUE"""),20050023)</f>
        <v>20050023</v>
      </c>
      <c r="G569" s="77" t="str">
        <f t="shared" ca="1" si="2"/>
        <v>si</v>
      </c>
    </row>
    <row r="570" spans="1:7" ht="12.75" x14ac:dyDescent="0.2">
      <c r="A570" s="62">
        <f ca="1">IFERROR(__xludf.DUMMYFUNCTION("""COMPUTED_VALUE"""),20160030)</f>
        <v>20160030</v>
      </c>
      <c r="B570" s="62" t="str">
        <f ca="1">IFERROR(__xludf.DUMMYFUNCTION("""COMPUTED_VALUE"""),"Pantalla Laptop 14.0 Slim 30pin FHD 1980x1080 Reducidax2 N140HCG-EQ1 Rev.C1")</f>
        <v>Pantalla Laptop 14.0 Slim 30pin FHD 1980x1080 Reducidax2 N140HCG-EQ1 Rev.C1</v>
      </c>
      <c r="C570" s="75">
        <f ca="1">IFERROR(__xludf.DUMMYFUNCTION("""COMPUTED_VALUE"""),450)</f>
        <v>450</v>
      </c>
      <c r="D570" s="75">
        <f ca="1">IFERROR(__xludf.DUMMYFUNCTION("""COMPUTED_VALUE"""),100)</f>
        <v>100</v>
      </c>
      <c r="E570" s="76">
        <f ca="1">IFERROR(__xludf.DUMMYFUNCTION("""COMPUTED_VALUE"""),550)</f>
        <v>550</v>
      </c>
      <c r="F570" s="77">
        <f ca="1">IFERROR(__xludf.DUMMYFUNCTION("""COMPUTED_VALUE"""),20160030)</f>
        <v>20160030</v>
      </c>
      <c r="G570" s="77" t="str">
        <f t="shared" ca="1" si="2"/>
        <v>si</v>
      </c>
    </row>
    <row r="571" spans="1:7" ht="12.75" x14ac:dyDescent="0.2">
      <c r="A571" s="62">
        <f ca="1">IFERROR(__xludf.DUMMYFUNCTION("""COMPUTED_VALUE"""),10160220)</f>
        <v>10160220</v>
      </c>
      <c r="B571" s="62" t="str">
        <f ca="1">IFERROR(__xludf.DUMMYFUNCTION("""COMPUTED_VALUE"""),"Baterias Celulares Iphone 12  Mini Sin Logo")</f>
        <v>Baterias Celulares Iphone 12  Mini Sin Logo</v>
      </c>
      <c r="C571" s="75">
        <f ca="1">IFERROR(__xludf.DUMMYFUNCTION("""COMPUTED_VALUE"""),180)</f>
        <v>180</v>
      </c>
      <c r="D571" s="75">
        <f ca="1">IFERROR(__xludf.DUMMYFUNCTION("""COMPUTED_VALUE"""),50)</f>
        <v>50</v>
      </c>
      <c r="E571" s="76">
        <f ca="1">IFERROR(__xludf.DUMMYFUNCTION("""COMPUTED_VALUE"""),230)</f>
        <v>230</v>
      </c>
      <c r="F571" s="77">
        <f ca="1">IFERROR(__xludf.DUMMYFUNCTION("""COMPUTED_VALUE"""),10160220)</f>
        <v>10160220</v>
      </c>
      <c r="G571" s="77" t="str">
        <f t="shared" ca="1" si="2"/>
        <v>si</v>
      </c>
    </row>
    <row r="572" spans="1:7" ht="12.75" x14ac:dyDescent="0.2">
      <c r="A572" s="62">
        <f ca="1">IFERROR(__xludf.DUMMYFUNCTION("""COMPUTED_VALUE"""),10160221)</f>
        <v>10160221</v>
      </c>
      <c r="B572" s="62" t="str">
        <f ca="1">IFERROR(__xludf.DUMMYFUNCTION("""COMPUTED_VALUE"""),"Baterias Celulares Iphone 12 Pro max Sin Logo")</f>
        <v>Baterias Celulares Iphone 12 Pro max Sin Logo</v>
      </c>
      <c r="C572" s="75">
        <f ca="1">IFERROR(__xludf.DUMMYFUNCTION("""COMPUTED_VALUE"""),180)</f>
        <v>180</v>
      </c>
      <c r="D572" s="75">
        <f ca="1">IFERROR(__xludf.DUMMYFUNCTION("""COMPUTED_VALUE"""),50)</f>
        <v>50</v>
      </c>
      <c r="E572" s="76">
        <f ca="1">IFERROR(__xludf.DUMMYFUNCTION("""COMPUTED_VALUE"""),230)</f>
        <v>230</v>
      </c>
      <c r="F572" s="77">
        <f ca="1">IFERROR(__xludf.DUMMYFUNCTION("""COMPUTED_VALUE"""),10160221)</f>
        <v>10160221</v>
      </c>
      <c r="G572" s="77" t="str">
        <f t="shared" ca="1" si="2"/>
        <v>si</v>
      </c>
    </row>
    <row r="573" spans="1:7" ht="12.75" x14ac:dyDescent="0.2">
      <c r="A573" s="62">
        <f ca="1">IFERROR(__xludf.DUMMYFUNCTION("""COMPUTED_VALUE"""),10160222)</f>
        <v>10160222</v>
      </c>
      <c r="B573" s="62" t="str">
        <f ca="1">IFERROR(__xludf.DUMMYFUNCTION("""COMPUTED_VALUE"""),"Baterias Celulares Iphone 12 PRO Sin Logo")</f>
        <v>Baterias Celulares Iphone 12 PRO Sin Logo</v>
      </c>
      <c r="C573" s="75">
        <f ca="1">IFERROR(__xludf.DUMMYFUNCTION("""COMPUTED_VALUE"""),160)</f>
        <v>160</v>
      </c>
      <c r="D573" s="75">
        <f ca="1">IFERROR(__xludf.DUMMYFUNCTION("""COMPUTED_VALUE"""),50)</f>
        <v>50</v>
      </c>
      <c r="E573" s="76">
        <f ca="1">IFERROR(__xludf.DUMMYFUNCTION("""COMPUTED_VALUE"""),210)</f>
        <v>210</v>
      </c>
      <c r="F573" s="77">
        <f ca="1">IFERROR(__xludf.DUMMYFUNCTION("""COMPUTED_VALUE"""),10160222)</f>
        <v>10160222</v>
      </c>
      <c r="G573" s="77" t="str">
        <f t="shared" ca="1" si="2"/>
        <v>si</v>
      </c>
    </row>
    <row r="574" spans="1:7" ht="12.75" x14ac:dyDescent="0.2">
      <c r="A574" s="62">
        <f ca="1">IFERROR(__xludf.DUMMYFUNCTION("""COMPUTED_VALUE"""),10160223)</f>
        <v>10160223</v>
      </c>
      <c r="B574" s="62" t="str">
        <f ca="1">IFERROR(__xludf.DUMMYFUNCTION("""COMPUTED_VALUE"""),"Baterias Celulares Iphone 12  Sin Logo")</f>
        <v>Baterias Celulares Iphone 12  Sin Logo</v>
      </c>
      <c r="C574" s="75">
        <f ca="1">IFERROR(__xludf.DUMMYFUNCTION("""COMPUTED_VALUE"""),160)</f>
        <v>160</v>
      </c>
      <c r="D574" s="75">
        <f ca="1">IFERROR(__xludf.DUMMYFUNCTION("""COMPUTED_VALUE"""),50)</f>
        <v>50</v>
      </c>
      <c r="E574" s="76">
        <f ca="1">IFERROR(__xludf.DUMMYFUNCTION("""COMPUTED_VALUE"""),210)</f>
        <v>210</v>
      </c>
      <c r="F574" s="77">
        <f ca="1">IFERROR(__xludf.DUMMYFUNCTION("""COMPUTED_VALUE"""),10160223)</f>
        <v>10160223</v>
      </c>
      <c r="G574" s="77" t="str">
        <f t="shared" ca="1" si="2"/>
        <v>si</v>
      </c>
    </row>
    <row r="575" spans="1:7" ht="12.75" x14ac:dyDescent="0.2">
      <c r="A575" s="62">
        <f ca="1">IFERROR(__xludf.DUMMYFUNCTION("""COMPUTED_VALUE"""),10020112)</f>
        <v>10020112</v>
      </c>
      <c r="B575" s="62" t="str">
        <f ca="1">IFERROR(__xludf.DUMMYFUNCTION("""COMPUTED_VALUE"""),"Baterias Celulares Iphone 11 Pro max Sin Logo")</f>
        <v>Baterias Celulares Iphone 11 Pro max Sin Logo</v>
      </c>
      <c r="C575" s="75">
        <f ca="1">IFERROR(__xludf.DUMMYFUNCTION("""COMPUTED_VALUE"""),120)</f>
        <v>120</v>
      </c>
      <c r="D575" s="75">
        <f ca="1">IFERROR(__xludf.DUMMYFUNCTION("""COMPUTED_VALUE"""),50)</f>
        <v>50</v>
      </c>
      <c r="E575" s="76">
        <f ca="1">IFERROR(__xludf.DUMMYFUNCTION("""COMPUTED_VALUE"""),170)</f>
        <v>170</v>
      </c>
      <c r="F575" s="77">
        <f ca="1">IFERROR(__xludf.DUMMYFUNCTION("""COMPUTED_VALUE"""),10020112)</f>
        <v>10020112</v>
      </c>
      <c r="G575" s="77" t="str">
        <f t="shared" ca="1" si="2"/>
        <v>si</v>
      </c>
    </row>
    <row r="576" spans="1:7" ht="12.75" x14ac:dyDescent="0.2">
      <c r="A576" s="62">
        <f ca="1">IFERROR(__xludf.DUMMYFUNCTION("""COMPUTED_VALUE"""),10020111)</f>
        <v>10020111</v>
      </c>
      <c r="B576" s="62" t="str">
        <f ca="1">IFERROR(__xludf.DUMMYFUNCTION("""COMPUTED_VALUE"""),"Baterias Celulares Iphone 11PROSin Logo")</f>
        <v>Baterias Celulares Iphone 11PROSin Logo</v>
      </c>
      <c r="C576" s="75">
        <f ca="1">IFERROR(__xludf.DUMMYFUNCTION("""COMPUTED_VALUE"""),120)</f>
        <v>120</v>
      </c>
      <c r="D576" s="75">
        <f ca="1">IFERROR(__xludf.DUMMYFUNCTION("""COMPUTED_VALUE"""),50)</f>
        <v>50</v>
      </c>
      <c r="E576" s="76">
        <f ca="1">IFERROR(__xludf.DUMMYFUNCTION("""COMPUTED_VALUE"""),170)</f>
        <v>170</v>
      </c>
      <c r="F576" s="77">
        <f ca="1">IFERROR(__xludf.DUMMYFUNCTION("""COMPUTED_VALUE"""),10020111)</f>
        <v>10020111</v>
      </c>
      <c r="G576" s="77" t="str">
        <f t="shared" ca="1" si="2"/>
        <v>si</v>
      </c>
    </row>
    <row r="577" spans="1:7" ht="12.75" x14ac:dyDescent="0.2">
      <c r="A577" s="62">
        <f ca="1">IFERROR(__xludf.DUMMYFUNCTION("""COMPUTED_VALUE"""),10020110)</f>
        <v>10020110</v>
      </c>
      <c r="B577" s="62" t="str">
        <f ca="1">IFERROR(__xludf.DUMMYFUNCTION("""COMPUTED_VALUE"""),"Baterias Celulares Iphone 11  Sin Logo")</f>
        <v>Baterias Celulares Iphone 11  Sin Logo</v>
      </c>
      <c r="C577" s="75">
        <f ca="1">IFERROR(__xludf.DUMMYFUNCTION("""COMPUTED_VALUE"""),120)</f>
        <v>120</v>
      </c>
      <c r="D577" s="75">
        <f ca="1">IFERROR(__xludf.DUMMYFUNCTION("""COMPUTED_VALUE"""),50)</f>
        <v>50</v>
      </c>
      <c r="E577" s="76">
        <f ca="1">IFERROR(__xludf.DUMMYFUNCTION("""COMPUTED_VALUE"""),170)</f>
        <v>170</v>
      </c>
      <c r="F577" s="77">
        <f ca="1">IFERROR(__xludf.DUMMYFUNCTION("""COMPUTED_VALUE"""),10020110)</f>
        <v>10020110</v>
      </c>
      <c r="G577" s="77" t="str">
        <f t="shared" ca="1" si="2"/>
        <v>si</v>
      </c>
    </row>
    <row r="578" spans="1:7" ht="12.75" x14ac:dyDescent="0.2">
      <c r="A578" s="62">
        <f ca="1">IFERROR(__xludf.DUMMYFUNCTION("""COMPUTED_VALUE"""),10020125)</f>
        <v>10020125</v>
      </c>
      <c r="B578" s="62" t="str">
        <f ca="1">IFERROR(__xludf.DUMMYFUNCTION("""COMPUTED_VALUE"""),"Baterias Celulares Iphone Xs Max Sin Logo")</f>
        <v>Baterias Celulares Iphone Xs Max Sin Logo</v>
      </c>
      <c r="C578" s="75">
        <f ca="1">IFERROR(__xludf.DUMMYFUNCTION("""COMPUTED_VALUE"""),120)</f>
        <v>120</v>
      </c>
      <c r="D578" s="75">
        <f ca="1">IFERROR(__xludf.DUMMYFUNCTION("""COMPUTED_VALUE"""),50)</f>
        <v>50</v>
      </c>
      <c r="E578" s="76">
        <f ca="1">IFERROR(__xludf.DUMMYFUNCTION("""COMPUTED_VALUE"""),170)</f>
        <v>170</v>
      </c>
      <c r="F578" s="77">
        <f ca="1">IFERROR(__xludf.DUMMYFUNCTION("""COMPUTED_VALUE"""),10020125)</f>
        <v>10020125</v>
      </c>
      <c r="G578" s="77" t="str">
        <f t="shared" ca="1" si="2"/>
        <v>si</v>
      </c>
    </row>
    <row r="579" spans="1:7" ht="12.75" x14ac:dyDescent="0.2">
      <c r="A579" s="62">
        <f ca="1">IFERROR(__xludf.DUMMYFUNCTION("""COMPUTED_VALUE"""),10020046)</f>
        <v>10020046</v>
      </c>
      <c r="B579" s="62" t="str">
        <f ca="1">IFERROR(__xludf.DUMMYFUNCTION("""COMPUTED_VALUE"""),"Baterias Celulares Iphone Xs  Sin Logo")</f>
        <v>Baterias Celulares Iphone Xs  Sin Logo</v>
      </c>
      <c r="C579" s="75">
        <f ca="1">IFERROR(__xludf.DUMMYFUNCTION("""COMPUTED_VALUE"""),120)</f>
        <v>120</v>
      </c>
      <c r="D579" s="75">
        <f ca="1">IFERROR(__xludf.DUMMYFUNCTION("""COMPUTED_VALUE"""),50)</f>
        <v>50</v>
      </c>
      <c r="E579" s="76">
        <f ca="1">IFERROR(__xludf.DUMMYFUNCTION("""COMPUTED_VALUE"""),170)</f>
        <v>170</v>
      </c>
      <c r="F579" s="77">
        <f ca="1">IFERROR(__xludf.DUMMYFUNCTION("""COMPUTED_VALUE"""),10020046)</f>
        <v>10020046</v>
      </c>
      <c r="G579" s="77" t="str">
        <f t="shared" ca="1" si="2"/>
        <v>si</v>
      </c>
    </row>
    <row r="580" spans="1:7" ht="12.75" x14ac:dyDescent="0.2">
      <c r="A580" s="62">
        <f ca="1">IFERROR(__xludf.DUMMYFUNCTION("""COMPUTED_VALUE"""),10020045)</f>
        <v>10020045</v>
      </c>
      <c r="B580" s="62" t="str">
        <f ca="1">IFERROR(__xludf.DUMMYFUNCTION("""COMPUTED_VALUE"""),"Baterias Celulares Iphone Xr  Sin Logo")</f>
        <v>Baterias Celulares Iphone Xr  Sin Logo</v>
      </c>
      <c r="C580" s="75">
        <f ca="1">IFERROR(__xludf.DUMMYFUNCTION("""COMPUTED_VALUE"""),120)</f>
        <v>120</v>
      </c>
      <c r="D580" s="75">
        <f ca="1">IFERROR(__xludf.DUMMYFUNCTION("""COMPUTED_VALUE"""),50)</f>
        <v>50</v>
      </c>
      <c r="E580" s="76">
        <f ca="1">IFERROR(__xludf.DUMMYFUNCTION("""COMPUTED_VALUE"""),170)</f>
        <v>170</v>
      </c>
      <c r="F580" s="77">
        <f ca="1">IFERROR(__xludf.DUMMYFUNCTION("""COMPUTED_VALUE"""),10020045)</f>
        <v>10020045</v>
      </c>
      <c r="G580" s="77" t="str">
        <f t="shared" ca="1" si="2"/>
        <v>si</v>
      </c>
    </row>
    <row r="581" spans="1:7" ht="12.75" x14ac:dyDescent="0.2">
      <c r="A581" s="62">
        <f ca="1">IFERROR(__xludf.DUMMYFUNCTION("""COMPUTED_VALUE"""),10020044)</f>
        <v>10020044</v>
      </c>
      <c r="B581" s="62" t="str">
        <f ca="1">IFERROR(__xludf.DUMMYFUNCTION("""COMPUTED_VALUE"""),"Baterias Celulares Iphone X  Sin Logo")</f>
        <v>Baterias Celulares Iphone X  Sin Logo</v>
      </c>
      <c r="C581" s="75">
        <f ca="1">IFERROR(__xludf.DUMMYFUNCTION("""COMPUTED_VALUE"""),120)</f>
        <v>120</v>
      </c>
      <c r="D581" s="75">
        <f ca="1">IFERROR(__xludf.DUMMYFUNCTION("""COMPUTED_VALUE"""),50)</f>
        <v>50</v>
      </c>
      <c r="E581" s="76">
        <f ca="1">IFERROR(__xludf.DUMMYFUNCTION("""COMPUTED_VALUE"""),170)</f>
        <v>170</v>
      </c>
      <c r="F581" s="77">
        <f ca="1">IFERROR(__xludf.DUMMYFUNCTION("""COMPUTED_VALUE"""),10020044)</f>
        <v>10020044</v>
      </c>
      <c r="G581" s="77" t="str">
        <f t="shared" ca="1" si="2"/>
        <v>si</v>
      </c>
    </row>
    <row r="582" spans="1:7" ht="12.75" x14ac:dyDescent="0.2">
      <c r="A582" s="62">
        <f ca="1">IFERROR(__xludf.DUMMYFUNCTION("""COMPUTED_VALUE"""),10020043)</f>
        <v>10020043</v>
      </c>
      <c r="B582" s="62" t="str">
        <f ca="1">IFERROR(__xludf.DUMMYFUNCTION("""COMPUTED_VALUE"""),"Baterias Celulares Iphone 8Plus Sin Logo")</f>
        <v>Baterias Celulares Iphone 8Plus Sin Logo</v>
      </c>
      <c r="C582" s="75">
        <f ca="1">IFERROR(__xludf.DUMMYFUNCTION("""COMPUTED_VALUE"""),70)</f>
        <v>70</v>
      </c>
      <c r="D582" s="75">
        <f ca="1">IFERROR(__xludf.DUMMYFUNCTION("""COMPUTED_VALUE"""),40)</f>
        <v>40</v>
      </c>
      <c r="E582" s="76">
        <f ca="1">IFERROR(__xludf.DUMMYFUNCTION("""COMPUTED_VALUE"""),110)</f>
        <v>110</v>
      </c>
      <c r="F582" s="77">
        <f ca="1">IFERROR(__xludf.DUMMYFUNCTION("""COMPUTED_VALUE"""),10020043)</f>
        <v>10020043</v>
      </c>
      <c r="G582" s="77" t="str">
        <f t="shared" ca="1" si="2"/>
        <v>si</v>
      </c>
    </row>
    <row r="583" spans="1:7" ht="12.75" x14ac:dyDescent="0.2">
      <c r="A583" s="62">
        <f ca="1">IFERROR(__xludf.DUMMYFUNCTION("""COMPUTED_VALUE"""),10020042)</f>
        <v>10020042</v>
      </c>
      <c r="B583" s="62" t="str">
        <f ca="1">IFERROR(__xludf.DUMMYFUNCTION("""COMPUTED_VALUE"""),"Baterias Celulares Iphone 8G Sin Logo")</f>
        <v>Baterias Celulares Iphone 8G Sin Logo</v>
      </c>
      <c r="C583" s="75">
        <f ca="1">IFERROR(__xludf.DUMMYFUNCTION("""COMPUTED_VALUE"""),70)</f>
        <v>70</v>
      </c>
      <c r="D583" s="75">
        <f ca="1">IFERROR(__xludf.DUMMYFUNCTION("""COMPUTED_VALUE"""),40)</f>
        <v>40</v>
      </c>
      <c r="E583" s="76">
        <f ca="1">IFERROR(__xludf.DUMMYFUNCTION("""COMPUTED_VALUE"""),110)</f>
        <v>110</v>
      </c>
      <c r="F583" s="77">
        <f ca="1">IFERROR(__xludf.DUMMYFUNCTION("""COMPUTED_VALUE"""),10020042)</f>
        <v>10020042</v>
      </c>
      <c r="G583" s="77" t="str">
        <f t="shared" ca="1" si="2"/>
        <v>si</v>
      </c>
    </row>
    <row r="584" spans="1:7" ht="12.75" x14ac:dyDescent="0.2">
      <c r="A584" s="62">
        <f ca="1">IFERROR(__xludf.DUMMYFUNCTION("""COMPUTED_VALUE"""),10020040)</f>
        <v>10020040</v>
      </c>
      <c r="B584" s="62" t="str">
        <f ca="1">IFERROR(__xludf.DUMMYFUNCTION("""COMPUTED_VALUE"""),"Baterias Celulares Iphone 7G Sin Logo")</f>
        <v>Baterias Celulares Iphone 7G Sin Logo</v>
      </c>
      <c r="C584" s="75">
        <f ca="1">IFERROR(__xludf.DUMMYFUNCTION("""COMPUTED_VALUE"""),70)</f>
        <v>70</v>
      </c>
      <c r="D584" s="75">
        <f ca="1">IFERROR(__xludf.DUMMYFUNCTION("""COMPUTED_VALUE"""),40)</f>
        <v>40</v>
      </c>
      <c r="E584" s="76">
        <f ca="1">IFERROR(__xludf.DUMMYFUNCTION("""COMPUTED_VALUE"""),110)</f>
        <v>110</v>
      </c>
      <c r="F584" s="77">
        <f ca="1">IFERROR(__xludf.DUMMYFUNCTION("""COMPUTED_VALUE"""),10020040)</f>
        <v>10020040</v>
      </c>
      <c r="G584" s="77" t="str">
        <f t="shared" ca="1" si="2"/>
        <v>si</v>
      </c>
    </row>
    <row r="585" spans="1:7" ht="12.75" x14ac:dyDescent="0.2">
      <c r="A585" s="62">
        <f ca="1">IFERROR(__xludf.DUMMYFUNCTION("""COMPUTED_VALUE"""),10020041)</f>
        <v>10020041</v>
      </c>
      <c r="B585" s="62" t="str">
        <f ca="1">IFERROR(__xludf.DUMMYFUNCTION("""COMPUTED_VALUE"""),"Baterias Celulares Iphone 7Plus Sin Logo")</f>
        <v>Baterias Celulares Iphone 7Plus Sin Logo</v>
      </c>
      <c r="C585" s="75">
        <f ca="1">IFERROR(__xludf.DUMMYFUNCTION("""COMPUTED_VALUE"""),70)</f>
        <v>70</v>
      </c>
      <c r="D585" s="75">
        <f ca="1">IFERROR(__xludf.DUMMYFUNCTION("""COMPUTED_VALUE"""),40)</f>
        <v>40</v>
      </c>
      <c r="E585" s="76">
        <f ca="1">IFERROR(__xludf.DUMMYFUNCTION("""COMPUTED_VALUE"""),110)</f>
        <v>110</v>
      </c>
      <c r="F585" s="77">
        <f ca="1">IFERROR(__xludf.DUMMYFUNCTION("""COMPUTED_VALUE"""),10020041)</f>
        <v>10020041</v>
      </c>
      <c r="G585" s="77" t="str">
        <f t="shared" ca="1" si="2"/>
        <v>si</v>
      </c>
    </row>
    <row r="586" spans="1:7" ht="12.75" x14ac:dyDescent="0.2">
      <c r="A586" s="62">
        <f ca="1">IFERROR(__xludf.DUMMYFUNCTION("""COMPUTED_VALUE"""),10020039)</f>
        <v>10020039</v>
      </c>
      <c r="B586" s="62" t="str">
        <f ca="1">IFERROR(__xludf.DUMMYFUNCTION("""COMPUTED_VALUE"""),"Baterias Celulares Iphone 6SPlus - 6Plus Sin Logo")</f>
        <v>Baterias Celulares Iphone 6SPlus - 6Plus Sin Logo</v>
      </c>
      <c r="C586" s="75">
        <f ca="1">IFERROR(__xludf.DUMMYFUNCTION("""COMPUTED_VALUE"""),70)</f>
        <v>70</v>
      </c>
      <c r="D586" s="75">
        <f ca="1">IFERROR(__xludf.DUMMYFUNCTION("""COMPUTED_VALUE"""),30)</f>
        <v>30</v>
      </c>
      <c r="E586" s="76">
        <f ca="1">IFERROR(__xludf.DUMMYFUNCTION("""COMPUTED_VALUE"""),100)</f>
        <v>100</v>
      </c>
      <c r="F586" s="77">
        <f ca="1">IFERROR(__xludf.DUMMYFUNCTION("""COMPUTED_VALUE"""),10020039)</f>
        <v>10020039</v>
      </c>
      <c r="G586" s="77" t="str">
        <f t="shared" ca="1" si="2"/>
        <v>si</v>
      </c>
    </row>
    <row r="587" spans="1:7" ht="12.75" x14ac:dyDescent="0.2">
      <c r="A587" s="62">
        <f ca="1">IFERROR(__xludf.DUMMYFUNCTION("""COMPUTED_VALUE"""),10020038)</f>
        <v>10020038</v>
      </c>
      <c r="B587" s="62" t="str">
        <f ca="1">IFERROR(__xludf.DUMMYFUNCTION("""COMPUTED_VALUE"""),"Baterias Celulares Iphone 6S Sin Logo")</f>
        <v>Baterias Celulares Iphone 6S Sin Logo</v>
      </c>
      <c r="C587" s="75">
        <f ca="1">IFERROR(__xludf.DUMMYFUNCTION("""COMPUTED_VALUE"""),70)</f>
        <v>70</v>
      </c>
      <c r="D587" s="75">
        <f ca="1">IFERROR(__xludf.DUMMYFUNCTION("""COMPUTED_VALUE"""),30)</f>
        <v>30</v>
      </c>
      <c r="E587" s="76">
        <f ca="1">IFERROR(__xludf.DUMMYFUNCTION("""COMPUTED_VALUE"""),100)</f>
        <v>100</v>
      </c>
      <c r="F587" s="77">
        <f ca="1">IFERROR(__xludf.DUMMYFUNCTION("""COMPUTED_VALUE"""),10020038)</f>
        <v>10020038</v>
      </c>
      <c r="G587" s="77" t="str">
        <f t="shared" ca="1" si="2"/>
        <v>si</v>
      </c>
    </row>
    <row r="588" spans="1:7" ht="12.75" x14ac:dyDescent="0.2">
      <c r="A588" s="62">
        <f ca="1">IFERROR(__xludf.DUMMYFUNCTION("""COMPUTED_VALUE"""),10020037)</f>
        <v>10020037</v>
      </c>
      <c r="B588" s="62" t="str">
        <f ca="1">IFERROR(__xludf.DUMMYFUNCTION("""COMPUTED_VALUE"""),"Baterias Celulares Iphone 6G Sin Logo")</f>
        <v>Baterias Celulares Iphone 6G Sin Logo</v>
      </c>
      <c r="C588" s="75">
        <f ca="1">IFERROR(__xludf.DUMMYFUNCTION("""COMPUTED_VALUE"""),70)</f>
        <v>70</v>
      </c>
      <c r="D588" s="75">
        <f ca="1">IFERROR(__xludf.DUMMYFUNCTION("""COMPUTED_VALUE"""),30)</f>
        <v>30</v>
      </c>
      <c r="E588" s="76">
        <f ca="1">IFERROR(__xludf.DUMMYFUNCTION("""COMPUTED_VALUE"""),100)</f>
        <v>100</v>
      </c>
      <c r="F588" s="77">
        <f ca="1">IFERROR(__xludf.DUMMYFUNCTION("""COMPUTED_VALUE"""),10020037)</f>
        <v>10020037</v>
      </c>
      <c r="G588" s="77" t="str">
        <f t="shared" ca="1" si="2"/>
        <v>si</v>
      </c>
    </row>
    <row r="589" spans="1:7" ht="12.75" x14ac:dyDescent="0.2">
      <c r="A589" s="62">
        <f ca="1">IFERROR(__xludf.DUMMYFUNCTION("""COMPUTED_VALUE"""),10020035)</f>
        <v>10020035</v>
      </c>
      <c r="B589" s="62" t="str">
        <f ca="1">IFERROR(__xludf.DUMMYFUNCTION("""COMPUTED_VALUE"""),"Baterias Celulares Iphone 5S Sin Logo")</f>
        <v>Baterias Celulares Iphone 5S Sin Logo</v>
      </c>
      <c r="C589" s="75">
        <f ca="1">IFERROR(__xludf.DUMMYFUNCTION("""COMPUTED_VALUE"""),50)</f>
        <v>50</v>
      </c>
      <c r="D589" s="75">
        <f ca="1">IFERROR(__xludf.DUMMYFUNCTION("""COMPUTED_VALUE"""),30)</f>
        <v>30</v>
      </c>
      <c r="E589" s="76">
        <f ca="1">IFERROR(__xludf.DUMMYFUNCTION("""COMPUTED_VALUE"""),80)</f>
        <v>80</v>
      </c>
      <c r="F589" s="77">
        <f ca="1">IFERROR(__xludf.DUMMYFUNCTION("""COMPUTED_VALUE"""),10020035)</f>
        <v>10020035</v>
      </c>
      <c r="G589" s="77" t="str">
        <f t="shared" ca="1" si="2"/>
        <v>si</v>
      </c>
    </row>
    <row r="590" spans="1:7" ht="12.75" x14ac:dyDescent="0.2">
      <c r="A590" s="62">
        <f ca="1">IFERROR(__xludf.DUMMYFUNCTION("""COMPUTED_VALUE"""),10020034)</f>
        <v>10020034</v>
      </c>
      <c r="B590" s="62" t="str">
        <f ca="1">IFERROR(__xludf.DUMMYFUNCTION("""COMPUTED_VALUE"""),"Baterias Celulares Iphone 5G Sin Logo")</f>
        <v>Baterias Celulares Iphone 5G Sin Logo</v>
      </c>
      <c r="C590" s="75">
        <f ca="1">IFERROR(__xludf.DUMMYFUNCTION("""COMPUTED_VALUE"""),50)</f>
        <v>50</v>
      </c>
      <c r="D590" s="75">
        <f ca="1">IFERROR(__xludf.DUMMYFUNCTION("""COMPUTED_VALUE"""),50)</f>
        <v>50</v>
      </c>
      <c r="E590" s="76">
        <f ca="1">IFERROR(__xludf.DUMMYFUNCTION("""COMPUTED_VALUE"""),100)</f>
        <v>100</v>
      </c>
      <c r="F590" s="77">
        <f ca="1">IFERROR(__xludf.DUMMYFUNCTION("""COMPUTED_VALUE"""),10020034)</f>
        <v>10020034</v>
      </c>
      <c r="G590" s="77" t="str">
        <f t="shared" ca="1" si="2"/>
        <v>si</v>
      </c>
    </row>
    <row r="591" spans="1:7" ht="12.75" x14ac:dyDescent="0.2">
      <c r="A591" s="62">
        <f ca="1">IFERROR(__xludf.DUMMYFUNCTION("""COMPUTED_VALUE"""),10020036)</f>
        <v>10020036</v>
      </c>
      <c r="B591" s="62" t="str">
        <f ca="1">IFERROR(__xludf.DUMMYFUNCTION("""COMPUTED_VALUE"""),"Baterias Celulares Iphone 5SE Sin Logo")</f>
        <v>Baterias Celulares Iphone 5SE Sin Logo</v>
      </c>
      <c r="C591" s="75">
        <f ca="1">IFERROR(__xludf.DUMMYFUNCTION("""COMPUTED_VALUE"""),50)</f>
        <v>50</v>
      </c>
      <c r="D591" s="75">
        <f ca="1">IFERROR(__xludf.DUMMYFUNCTION("""COMPUTED_VALUE"""),50)</f>
        <v>50</v>
      </c>
      <c r="E591" s="76">
        <f ca="1">IFERROR(__xludf.DUMMYFUNCTION("""COMPUTED_VALUE"""),100)</f>
        <v>100</v>
      </c>
      <c r="F591" s="77">
        <f ca="1">IFERROR(__xludf.DUMMYFUNCTION("""COMPUTED_VALUE"""),10020036)</f>
        <v>10020036</v>
      </c>
      <c r="G591" s="77" t="str">
        <f t="shared" ca="1" si="2"/>
        <v>si</v>
      </c>
    </row>
    <row r="592" spans="1:7" ht="12.75" x14ac:dyDescent="0.2">
      <c r="A592" s="62">
        <f ca="1">IFERROR(__xludf.DUMMYFUNCTION("""COMPUTED_VALUE"""),10020091)</f>
        <v>10020091</v>
      </c>
      <c r="B592" s="62" t="str">
        <f ca="1">IFERROR(__xludf.DUMMYFUNCTION("""COMPUTED_VALUE"""),"Baterias Celulares Samsung S9 Plus Sin Logo")</f>
        <v>Baterias Celulares Samsung S9 Plus Sin Logo</v>
      </c>
      <c r="C592" s="75">
        <f ca="1">IFERROR(__xludf.DUMMYFUNCTION("""COMPUTED_VALUE"""),80)</f>
        <v>80</v>
      </c>
      <c r="D592" s="75">
        <f ca="1">IFERROR(__xludf.DUMMYFUNCTION("""COMPUTED_VALUE"""),50)</f>
        <v>50</v>
      </c>
      <c r="E592" s="76">
        <f ca="1">IFERROR(__xludf.DUMMYFUNCTION("""COMPUTED_VALUE"""),130)</f>
        <v>130</v>
      </c>
      <c r="F592" s="77">
        <f ca="1">IFERROR(__xludf.DUMMYFUNCTION("""COMPUTED_VALUE"""),10020091)</f>
        <v>10020091</v>
      </c>
      <c r="G592" s="77" t="str">
        <f t="shared" ca="1" si="2"/>
        <v>si</v>
      </c>
    </row>
    <row r="593" spans="1:7" ht="12.75" x14ac:dyDescent="0.2">
      <c r="A593" s="62">
        <f ca="1">IFERROR(__xludf.DUMMYFUNCTION("""COMPUTED_VALUE"""),10020088)</f>
        <v>10020088</v>
      </c>
      <c r="B593" s="62" t="str">
        <f ca="1">IFERROR(__xludf.DUMMYFUNCTION("""COMPUTED_VALUE"""),"Baterias Celulares Samsung S9  Sin Logo")</f>
        <v>Baterias Celulares Samsung S9  Sin Logo</v>
      </c>
      <c r="C593" s="75">
        <f ca="1">IFERROR(__xludf.DUMMYFUNCTION("""COMPUTED_VALUE"""),80)</f>
        <v>80</v>
      </c>
      <c r="D593" s="75">
        <f ca="1">IFERROR(__xludf.DUMMYFUNCTION("""COMPUTED_VALUE"""),50)</f>
        <v>50</v>
      </c>
      <c r="E593" s="76">
        <f ca="1">IFERROR(__xludf.DUMMYFUNCTION("""COMPUTED_VALUE"""),130)</f>
        <v>130</v>
      </c>
      <c r="F593" s="77">
        <f ca="1">IFERROR(__xludf.DUMMYFUNCTION("""COMPUTED_VALUE"""),10020088)</f>
        <v>10020088</v>
      </c>
      <c r="G593" s="77" t="str">
        <f t="shared" ca="1" si="2"/>
        <v>si</v>
      </c>
    </row>
    <row r="594" spans="1:7" ht="12.75" x14ac:dyDescent="0.2">
      <c r="A594" s="62">
        <f ca="1">IFERROR(__xludf.DUMMYFUNCTION("""COMPUTED_VALUE"""),10020087)</f>
        <v>10020087</v>
      </c>
      <c r="B594" s="62" t="str">
        <f ca="1">IFERROR(__xludf.DUMMYFUNCTION("""COMPUTED_VALUE"""),"Baterias Celulares Samsung S8 Plus Sin Logo")</f>
        <v>Baterias Celulares Samsung S8 Plus Sin Logo</v>
      </c>
      <c r="C594" s="75">
        <f ca="1">IFERROR(__xludf.DUMMYFUNCTION("""COMPUTED_VALUE"""),80)</f>
        <v>80</v>
      </c>
      <c r="D594" s="75">
        <f ca="1">IFERROR(__xludf.DUMMYFUNCTION("""COMPUTED_VALUE"""),50)</f>
        <v>50</v>
      </c>
      <c r="E594" s="76">
        <f ca="1">IFERROR(__xludf.DUMMYFUNCTION("""COMPUTED_VALUE"""),130)</f>
        <v>130</v>
      </c>
      <c r="F594" s="77">
        <f ca="1">IFERROR(__xludf.DUMMYFUNCTION("""COMPUTED_VALUE"""),10020087)</f>
        <v>10020087</v>
      </c>
      <c r="G594" s="77" t="str">
        <f t="shared" ca="1" si="2"/>
        <v>si</v>
      </c>
    </row>
    <row r="595" spans="1:7" ht="12.75" x14ac:dyDescent="0.2">
      <c r="A595" s="62">
        <f ca="1">IFERROR(__xludf.DUMMYFUNCTION("""COMPUTED_VALUE"""),10020086)</f>
        <v>10020086</v>
      </c>
      <c r="B595" s="62" t="str">
        <f ca="1">IFERROR(__xludf.DUMMYFUNCTION("""COMPUTED_VALUE"""),"Baterias Celulares Samsung S8 Sin Logo")</f>
        <v>Baterias Celulares Samsung S8 Sin Logo</v>
      </c>
      <c r="C595" s="75">
        <f ca="1">IFERROR(__xludf.DUMMYFUNCTION("""COMPUTED_VALUE"""),80)</f>
        <v>80</v>
      </c>
      <c r="D595" s="75">
        <f ca="1">IFERROR(__xludf.DUMMYFUNCTION("""COMPUTED_VALUE"""),50)</f>
        <v>50</v>
      </c>
      <c r="E595" s="76">
        <f ca="1">IFERROR(__xludf.DUMMYFUNCTION("""COMPUTED_VALUE"""),130)</f>
        <v>130</v>
      </c>
      <c r="F595" s="77">
        <f ca="1">IFERROR(__xludf.DUMMYFUNCTION("""COMPUTED_VALUE"""),10020086)</f>
        <v>10020086</v>
      </c>
      <c r="G595" s="77" t="str">
        <f t="shared" ca="1" si="2"/>
        <v>si</v>
      </c>
    </row>
    <row r="596" spans="1:7" ht="12.75" x14ac:dyDescent="0.2">
      <c r="A596" s="62">
        <f ca="1">IFERROR(__xludf.DUMMYFUNCTION("""COMPUTED_VALUE"""),10020083)</f>
        <v>10020083</v>
      </c>
      <c r="B596" s="62" t="str">
        <f ca="1">IFERROR(__xludf.DUMMYFUNCTION("""COMPUTED_VALUE"""),"Baterias Celulares Samsung S7 Edge  Sin Logo")</f>
        <v>Baterias Celulares Samsung S7 Edge  Sin Logo</v>
      </c>
      <c r="C596" s="75">
        <f ca="1">IFERROR(__xludf.DUMMYFUNCTION("""COMPUTED_VALUE"""),50)</f>
        <v>50</v>
      </c>
      <c r="D596" s="75">
        <f ca="1">IFERROR(__xludf.DUMMYFUNCTION("""COMPUTED_VALUE"""),50)</f>
        <v>50</v>
      </c>
      <c r="E596" s="76">
        <f ca="1">IFERROR(__xludf.DUMMYFUNCTION("""COMPUTED_VALUE"""),100)</f>
        <v>100</v>
      </c>
      <c r="F596" s="77">
        <f ca="1">IFERROR(__xludf.DUMMYFUNCTION("""COMPUTED_VALUE"""),10020083)</f>
        <v>10020083</v>
      </c>
      <c r="G596" s="77" t="str">
        <f t="shared" ca="1" si="2"/>
        <v>si</v>
      </c>
    </row>
    <row r="597" spans="1:7" ht="12.75" x14ac:dyDescent="0.2">
      <c r="A597" s="62">
        <f ca="1">IFERROR(__xludf.DUMMYFUNCTION("""COMPUTED_VALUE"""),10020084)</f>
        <v>10020084</v>
      </c>
      <c r="B597" s="62" t="str">
        <f ca="1">IFERROR(__xludf.DUMMYFUNCTION("""COMPUTED_VALUE"""),"Baterias Celulares Samsung S7 Edge Con Logo")</f>
        <v>Baterias Celulares Samsung S7 Edge Con Logo</v>
      </c>
      <c r="C597" s="75">
        <f ca="1">IFERROR(__xludf.DUMMYFUNCTION("""COMPUTED_VALUE"""),70)</f>
        <v>70</v>
      </c>
      <c r="D597" s="75">
        <f ca="1">IFERROR(__xludf.DUMMYFUNCTION("""COMPUTED_VALUE"""),50)</f>
        <v>50</v>
      </c>
      <c r="E597" s="76">
        <f ca="1">IFERROR(__xludf.DUMMYFUNCTION("""COMPUTED_VALUE"""),120)</f>
        <v>120</v>
      </c>
      <c r="F597" s="77">
        <f ca="1">IFERROR(__xludf.DUMMYFUNCTION("""COMPUTED_VALUE"""),10020084)</f>
        <v>10020084</v>
      </c>
      <c r="G597" s="77" t="str">
        <f t="shared" ca="1" si="2"/>
        <v>si</v>
      </c>
    </row>
    <row r="598" spans="1:7" ht="12.75" x14ac:dyDescent="0.2">
      <c r="A598" s="62">
        <f ca="1">IFERROR(__xludf.DUMMYFUNCTION("""COMPUTED_VALUE"""),10020081)</f>
        <v>10020081</v>
      </c>
      <c r="B598" s="62" t="str">
        <f ca="1">IFERROR(__xludf.DUMMYFUNCTION("""COMPUTED_VALUE"""),"Baterias Celulares Samsung S6 Edge Sin Logo")</f>
        <v>Baterias Celulares Samsung S6 Edge Sin Logo</v>
      </c>
      <c r="C598" s="75">
        <f ca="1">IFERROR(__xludf.DUMMYFUNCTION("""COMPUTED_VALUE"""),50)</f>
        <v>50</v>
      </c>
      <c r="D598" s="75">
        <f ca="1">IFERROR(__xludf.DUMMYFUNCTION("""COMPUTED_VALUE"""),50)</f>
        <v>50</v>
      </c>
      <c r="E598" s="76">
        <f ca="1">IFERROR(__xludf.DUMMYFUNCTION("""COMPUTED_VALUE"""),100)</f>
        <v>100</v>
      </c>
      <c r="F598" s="77">
        <f ca="1">IFERROR(__xludf.DUMMYFUNCTION("""COMPUTED_VALUE"""),10020081)</f>
        <v>10020081</v>
      </c>
      <c r="G598" s="77" t="str">
        <f t="shared" ca="1" si="2"/>
        <v>si</v>
      </c>
    </row>
    <row r="599" spans="1:7" ht="12.75" x14ac:dyDescent="0.2">
      <c r="A599" s="62">
        <f ca="1">IFERROR(__xludf.DUMMYFUNCTION("""COMPUTED_VALUE"""),10020078)</f>
        <v>10020078</v>
      </c>
      <c r="B599" s="62" t="str">
        <f ca="1">IFERROR(__xludf.DUMMYFUNCTION("""COMPUTED_VALUE"""),"Baterias Celulares Samsung S5 Con Logo")</f>
        <v>Baterias Celulares Samsung S5 Con Logo</v>
      </c>
      <c r="C599" s="75">
        <f ca="1">IFERROR(__xludf.DUMMYFUNCTION("""COMPUTED_VALUE"""),50)</f>
        <v>50</v>
      </c>
      <c r="D599" s="75">
        <f ca="1">IFERROR(__xludf.DUMMYFUNCTION("""COMPUTED_VALUE"""),20)</f>
        <v>20</v>
      </c>
      <c r="E599" s="76">
        <f ca="1">IFERROR(__xludf.DUMMYFUNCTION("""COMPUTED_VALUE"""),70)</f>
        <v>70</v>
      </c>
      <c r="F599" s="77">
        <f ca="1">IFERROR(__xludf.DUMMYFUNCTION("""COMPUTED_VALUE"""),10020078)</f>
        <v>10020078</v>
      </c>
      <c r="G599" s="77" t="str">
        <f t="shared" ca="1" si="2"/>
        <v>si</v>
      </c>
    </row>
    <row r="600" spans="1:7" ht="12.75" x14ac:dyDescent="0.2">
      <c r="A600" s="62">
        <f ca="1">IFERROR(__xludf.DUMMYFUNCTION("""COMPUTED_VALUE"""),10020077)</f>
        <v>10020077</v>
      </c>
      <c r="B600" s="62" t="str">
        <f ca="1">IFERROR(__xludf.DUMMYFUNCTION("""COMPUTED_VALUE"""),"Baterias Celulares Samsung S4 Sin Logo")</f>
        <v>Baterias Celulares Samsung S4 Sin Logo</v>
      </c>
      <c r="C600" s="75">
        <f ca="1">IFERROR(__xludf.DUMMYFUNCTION("""COMPUTED_VALUE"""),50)</f>
        <v>50</v>
      </c>
      <c r="D600" s="75">
        <f ca="1">IFERROR(__xludf.DUMMYFUNCTION("""COMPUTED_VALUE"""),20)</f>
        <v>20</v>
      </c>
      <c r="E600" s="76">
        <f ca="1">IFERROR(__xludf.DUMMYFUNCTION("""COMPUTED_VALUE"""),70)</f>
        <v>70</v>
      </c>
      <c r="F600" s="77">
        <f ca="1">IFERROR(__xludf.DUMMYFUNCTION("""COMPUTED_VALUE"""),10020077)</f>
        <v>10020077</v>
      </c>
      <c r="G600" s="77" t="str">
        <f t="shared" ca="1" si="2"/>
        <v>si</v>
      </c>
    </row>
    <row r="601" spans="1:7" ht="12.75" x14ac:dyDescent="0.2">
      <c r="A601" s="62">
        <f ca="1">IFERROR(__xludf.DUMMYFUNCTION("""COMPUTED_VALUE"""),10020076)</f>
        <v>10020076</v>
      </c>
      <c r="B601" s="62" t="str">
        <f ca="1">IFERROR(__xludf.DUMMYFUNCTION("""COMPUTED_VALUE"""),"Baterias Celulares Samsung S3 Con Logo")</f>
        <v>Baterias Celulares Samsung S3 Con Logo</v>
      </c>
      <c r="C601" s="75">
        <f ca="1">IFERROR(__xludf.DUMMYFUNCTION("""COMPUTED_VALUE"""),50)</f>
        <v>50</v>
      </c>
      <c r="D601" s="75">
        <f ca="1">IFERROR(__xludf.DUMMYFUNCTION("""COMPUTED_VALUE"""),20)</f>
        <v>20</v>
      </c>
      <c r="E601" s="76">
        <f ca="1">IFERROR(__xludf.DUMMYFUNCTION("""COMPUTED_VALUE"""),70)</f>
        <v>70</v>
      </c>
      <c r="F601" s="77">
        <f ca="1">IFERROR(__xludf.DUMMYFUNCTION("""COMPUTED_VALUE"""),10020076)</f>
        <v>10020076</v>
      </c>
      <c r="G601" s="77" t="str">
        <f t="shared" ca="1" si="2"/>
        <v>si</v>
      </c>
    </row>
    <row r="602" spans="1:7" ht="12.75" x14ac:dyDescent="0.2">
      <c r="A602" s="62">
        <f ca="1">IFERROR(__xludf.DUMMYFUNCTION("""COMPUTED_VALUE"""),10020063)</f>
        <v>10020063</v>
      </c>
      <c r="B602" s="62" t="str">
        <f ca="1">IFERROR(__xludf.DUMMYFUNCTION("""COMPUTED_VALUE"""),"Baterias Celulares Samsung A7 2017 / A720 Con Logo")</f>
        <v>Baterias Celulares Samsung A7 2017 / A720 Con Logo</v>
      </c>
      <c r="C602" s="75">
        <f ca="1">IFERROR(__xludf.DUMMYFUNCTION("""COMPUTED_VALUE"""),50)</f>
        <v>50</v>
      </c>
      <c r="D602" s="75">
        <f ca="1">IFERROR(__xludf.DUMMYFUNCTION("""COMPUTED_VALUE"""),20)</f>
        <v>20</v>
      </c>
      <c r="E602" s="76">
        <f ca="1">IFERROR(__xludf.DUMMYFUNCTION("""COMPUTED_VALUE"""),70)</f>
        <v>70</v>
      </c>
      <c r="F602" s="77">
        <f ca="1">IFERROR(__xludf.DUMMYFUNCTION("""COMPUTED_VALUE"""),10020063)</f>
        <v>10020063</v>
      </c>
      <c r="G602" s="77" t="str">
        <f t="shared" ca="1" si="2"/>
        <v>si</v>
      </c>
    </row>
    <row r="603" spans="1:7" ht="12.75" x14ac:dyDescent="0.2">
      <c r="A603" s="62">
        <f ca="1">IFERROR(__xludf.DUMMYFUNCTION("""COMPUTED_VALUE"""),10020064)</f>
        <v>10020064</v>
      </c>
      <c r="B603" s="62" t="str">
        <f ca="1">IFERROR(__xludf.DUMMYFUNCTION("""COMPUTED_VALUE"""),"Baterias Celulares Samsung A7 2017 / A720 Sin Logo")</f>
        <v>Baterias Celulares Samsung A7 2017 / A720 Sin Logo</v>
      </c>
      <c r="C603" s="75">
        <f ca="1">IFERROR(__xludf.DUMMYFUNCTION("""COMPUTED_VALUE"""),40)</f>
        <v>40</v>
      </c>
      <c r="D603" s="75">
        <f ca="1">IFERROR(__xludf.DUMMYFUNCTION("""COMPUTED_VALUE"""),20)</f>
        <v>20</v>
      </c>
      <c r="E603" s="76">
        <f ca="1">IFERROR(__xludf.DUMMYFUNCTION("""COMPUTED_VALUE"""),60)</f>
        <v>60</v>
      </c>
      <c r="F603" s="77">
        <f ca="1">IFERROR(__xludf.DUMMYFUNCTION("""COMPUTED_VALUE"""),10020064)</f>
        <v>10020064</v>
      </c>
      <c r="G603" s="77" t="str">
        <f t="shared" ca="1" si="2"/>
        <v>si</v>
      </c>
    </row>
    <row r="604" spans="1:7" ht="12.75" x14ac:dyDescent="0.2">
      <c r="A604" s="62">
        <f ca="1">IFERROR(__xludf.DUMMYFUNCTION("""COMPUTED_VALUE"""),10020058)</f>
        <v>10020058</v>
      </c>
      <c r="B604" s="62" t="str">
        <f ca="1">IFERROR(__xludf.DUMMYFUNCTION("""COMPUTED_VALUE"""),"Baterias Celulares Samsung A3 2017 / A320 Con Logo")</f>
        <v>Baterias Celulares Samsung A3 2017 / A320 Con Logo</v>
      </c>
      <c r="C604" s="75">
        <f ca="1">IFERROR(__xludf.DUMMYFUNCTION("""COMPUTED_VALUE"""),50)</f>
        <v>50</v>
      </c>
      <c r="D604" s="75">
        <f ca="1">IFERROR(__xludf.DUMMYFUNCTION("""COMPUTED_VALUE"""),20)</f>
        <v>20</v>
      </c>
      <c r="E604" s="76">
        <f ca="1">IFERROR(__xludf.DUMMYFUNCTION("""COMPUTED_VALUE"""),70)</f>
        <v>70</v>
      </c>
      <c r="F604" s="77">
        <f ca="1">IFERROR(__xludf.DUMMYFUNCTION("""COMPUTED_VALUE"""),10020058)</f>
        <v>10020058</v>
      </c>
      <c r="G604" s="77" t="str">
        <f t="shared" ca="1" si="2"/>
        <v>si</v>
      </c>
    </row>
    <row r="605" spans="1:7" ht="12.75" x14ac:dyDescent="0.2">
      <c r="A605" s="62">
        <f ca="1">IFERROR(__xludf.DUMMYFUNCTION("""COMPUTED_VALUE"""),10020057)</f>
        <v>10020057</v>
      </c>
      <c r="B605" s="62" t="str">
        <f ca="1">IFERROR(__xludf.DUMMYFUNCTION("""COMPUTED_VALUE"""),"Baterias Celulares Samsung A3 2016 Con logo")</f>
        <v>Baterias Celulares Samsung A3 2016 Con logo</v>
      </c>
      <c r="C605" s="75">
        <f ca="1">IFERROR(__xludf.DUMMYFUNCTION("""COMPUTED_VALUE"""),50)</f>
        <v>50</v>
      </c>
      <c r="D605" s="75">
        <f ca="1">IFERROR(__xludf.DUMMYFUNCTION("""COMPUTED_VALUE"""),20)</f>
        <v>20</v>
      </c>
      <c r="E605" s="76">
        <f ca="1">IFERROR(__xludf.DUMMYFUNCTION("""COMPUTED_VALUE"""),70)</f>
        <v>70</v>
      </c>
      <c r="F605" s="77">
        <f ca="1">IFERROR(__xludf.DUMMYFUNCTION("""COMPUTED_VALUE"""),10020057)</f>
        <v>10020057</v>
      </c>
      <c r="G605" s="77" t="str">
        <f t="shared" ca="1" si="2"/>
        <v>si</v>
      </c>
    </row>
    <row r="606" spans="1:7" ht="12.75" x14ac:dyDescent="0.2">
      <c r="A606" s="62">
        <f ca="1">IFERROR(__xludf.DUMMYFUNCTION("""COMPUTED_VALUE"""),10020126)</f>
        <v>10020126</v>
      </c>
      <c r="B606" s="62" t="str">
        <f ca="1">IFERROR(__xludf.DUMMYFUNCTION("""COMPUTED_VALUE"""),"Bateria A5 2017 (Sin logo)")</f>
        <v>Bateria A5 2017 (Sin logo)</v>
      </c>
      <c r="C606" s="75">
        <f ca="1">IFERROR(__xludf.DUMMYFUNCTION("""COMPUTED_VALUE"""),0)</f>
        <v>0</v>
      </c>
      <c r="D606" s="75">
        <f ca="1">IFERROR(__xludf.DUMMYFUNCTION("""COMPUTED_VALUE"""),0)</f>
        <v>0</v>
      </c>
      <c r="E606" s="76">
        <f ca="1">IFERROR(__xludf.DUMMYFUNCTION("""COMPUTED_VALUE"""),0)</f>
        <v>0</v>
      </c>
      <c r="F606" s="77">
        <f ca="1">IFERROR(__xludf.DUMMYFUNCTION("""COMPUTED_VALUE"""),10020126)</f>
        <v>10020126</v>
      </c>
      <c r="G606" s="77" t="str">
        <f t="shared" ca="1" si="2"/>
        <v>si</v>
      </c>
    </row>
    <row r="607" spans="1:7" ht="12.75" x14ac:dyDescent="0.2">
      <c r="A607" s="62">
        <f ca="1">IFERROR(__xludf.DUMMYFUNCTION("""COMPUTED_VALUE"""),10020059)</f>
        <v>10020059</v>
      </c>
      <c r="B607" s="62" t="str">
        <f ca="1">IFERROR(__xludf.DUMMYFUNCTION("""COMPUTED_VALUE"""),"Baterias Celulares Samsung A5 2016 Sin logo")</f>
        <v>Baterias Celulares Samsung A5 2016 Sin logo</v>
      </c>
      <c r="C607" s="75">
        <f ca="1">IFERROR(__xludf.DUMMYFUNCTION("""COMPUTED_VALUE"""),50)</f>
        <v>50</v>
      </c>
      <c r="D607" s="75">
        <f ca="1">IFERROR(__xludf.DUMMYFUNCTION("""COMPUTED_VALUE"""),20)</f>
        <v>20</v>
      </c>
      <c r="E607" s="76">
        <f ca="1">IFERROR(__xludf.DUMMYFUNCTION("""COMPUTED_VALUE"""),70)</f>
        <v>70</v>
      </c>
      <c r="F607" s="77">
        <f ca="1">IFERROR(__xludf.DUMMYFUNCTION("""COMPUTED_VALUE"""),10020059)</f>
        <v>10020059</v>
      </c>
      <c r="G607" s="77" t="str">
        <f t="shared" ca="1" si="2"/>
        <v>si</v>
      </c>
    </row>
    <row r="608" spans="1:7" ht="12.75" x14ac:dyDescent="0.2">
      <c r="A608" s="62">
        <f ca="1">IFERROR(__xludf.DUMMYFUNCTION("""COMPUTED_VALUE"""),10020062)</f>
        <v>10020062</v>
      </c>
      <c r="B608" s="62" t="str">
        <f ca="1">IFERROR(__xludf.DUMMYFUNCTION("""COMPUTED_VALUE"""),"Baterias Celulares Samsung A7 2016 Sin logo")</f>
        <v>Baterias Celulares Samsung A7 2016 Sin logo</v>
      </c>
      <c r="C608" s="75">
        <f ca="1">IFERROR(__xludf.DUMMYFUNCTION("""COMPUTED_VALUE"""),50)</f>
        <v>50</v>
      </c>
      <c r="D608" s="75">
        <f ca="1">IFERROR(__xludf.DUMMYFUNCTION("""COMPUTED_VALUE"""),20)</f>
        <v>20</v>
      </c>
      <c r="E608" s="76">
        <f ca="1">IFERROR(__xludf.DUMMYFUNCTION("""COMPUTED_VALUE"""),70)</f>
        <v>70</v>
      </c>
      <c r="F608" s="77">
        <f ca="1">IFERROR(__xludf.DUMMYFUNCTION("""COMPUTED_VALUE"""),10020062)</f>
        <v>10020062</v>
      </c>
      <c r="G608" s="77" t="str">
        <f t="shared" ca="1" si="2"/>
        <v>si</v>
      </c>
    </row>
    <row r="609" spans="1:7" ht="12.75" x14ac:dyDescent="0.2">
      <c r="A609" s="62">
        <f ca="1">IFERROR(__xludf.DUMMYFUNCTION("""COMPUTED_VALUE"""),10020066)</f>
        <v>10020066</v>
      </c>
      <c r="B609" s="62" t="str">
        <f ca="1">IFERROR(__xludf.DUMMYFUNCTION("""COMPUTED_VALUE"""),"Baterias Celulares Samsung A8 Con logo")</f>
        <v>Baterias Celulares Samsung A8 Con logo</v>
      </c>
      <c r="C609" s="75">
        <f ca="1">IFERROR(__xludf.DUMMYFUNCTION("""COMPUTED_VALUE"""),50)</f>
        <v>50</v>
      </c>
      <c r="D609" s="75">
        <f ca="1">IFERROR(__xludf.DUMMYFUNCTION("""COMPUTED_VALUE"""),20)</f>
        <v>20</v>
      </c>
      <c r="E609" s="76">
        <f ca="1">IFERROR(__xludf.DUMMYFUNCTION("""COMPUTED_VALUE"""),70)</f>
        <v>70</v>
      </c>
      <c r="F609" s="77">
        <f ca="1">IFERROR(__xludf.DUMMYFUNCTION("""COMPUTED_VALUE"""),10020066)</f>
        <v>10020066</v>
      </c>
      <c r="G609" s="77" t="str">
        <f t="shared" ca="1" si="2"/>
        <v>si</v>
      </c>
    </row>
    <row r="610" spans="1:7" ht="12.75" x14ac:dyDescent="0.2">
      <c r="A610" s="62">
        <f ca="1">IFERROR(__xludf.DUMMYFUNCTION("""COMPUTED_VALUE"""),10020065)</f>
        <v>10020065</v>
      </c>
      <c r="B610" s="62" t="str">
        <f ca="1">IFERROR(__xludf.DUMMYFUNCTION("""COMPUTED_VALUE"""),"Baterias Celulares Samsung A7 2018 / A750 Sin Logo")</f>
        <v>Baterias Celulares Samsung A7 2018 / A750 Sin Logo</v>
      </c>
      <c r="C610" s="75">
        <f ca="1">IFERROR(__xludf.DUMMYFUNCTION("""COMPUTED_VALUE"""),40)</f>
        <v>40</v>
      </c>
      <c r="D610" s="75">
        <f ca="1">IFERROR(__xludf.DUMMYFUNCTION("""COMPUTED_VALUE"""),20)</f>
        <v>20</v>
      </c>
      <c r="E610" s="76">
        <f ca="1">IFERROR(__xludf.DUMMYFUNCTION("""COMPUTED_VALUE"""),60)</f>
        <v>60</v>
      </c>
      <c r="F610" s="77">
        <f ca="1">IFERROR(__xludf.DUMMYFUNCTION("""COMPUTED_VALUE"""),10020065)</f>
        <v>10020065</v>
      </c>
      <c r="G610" s="77" t="str">
        <f t="shared" ca="1" si="2"/>
        <v>si</v>
      </c>
    </row>
    <row r="611" spans="1:7" ht="12.75" x14ac:dyDescent="0.2">
      <c r="A611" s="62">
        <f ca="1">IFERROR(__xludf.DUMMYFUNCTION("""COMPUTED_VALUE"""),10020056)</f>
        <v>10020056</v>
      </c>
      <c r="B611" s="62" t="str">
        <f ca="1">IFERROR(__xludf.DUMMYFUNCTION("""COMPUTED_VALUE"""),"Baterias Celulares Samsung A10 Sin logo")</f>
        <v>Baterias Celulares Samsung A10 Sin logo</v>
      </c>
      <c r="C611" s="75">
        <f ca="1">IFERROR(__xludf.DUMMYFUNCTION("""COMPUTED_VALUE"""),40)</f>
        <v>40</v>
      </c>
      <c r="D611" s="75">
        <f ca="1">IFERROR(__xludf.DUMMYFUNCTION("""COMPUTED_VALUE"""),20)</f>
        <v>20</v>
      </c>
      <c r="E611" s="76">
        <f ca="1">IFERROR(__xludf.DUMMYFUNCTION("""COMPUTED_VALUE"""),60)</f>
        <v>60</v>
      </c>
      <c r="F611" s="77">
        <f ca="1">IFERROR(__xludf.DUMMYFUNCTION("""COMPUTED_VALUE"""),10020056)</f>
        <v>10020056</v>
      </c>
      <c r="G611" s="77" t="str">
        <f t="shared" ca="1" si="2"/>
        <v>si</v>
      </c>
    </row>
    <row r="612" spans="1:7" ht="12.75" x14ac:dyDescent="0.2">
      <c r="A612" s="62">
        <f ca="1">IFERROR(__xludf.DUMMYFUNCTION("""COMPUTED_VALUE"""),10020069)</f>
        <v>10020069</v>
      </c>
      <c r="B612" s="62" t="str">
        <f ca="1">IFERROR(__xludf.DUMMYFUNCTION("""COMPUTED_VALUE"""),"Baterias Celulares Samsung J4 Plus / J7 Prime Con Logo")</f>
        <v>Baterias Celulares Samsung J4 Plus / J7 Prime Con Logo</v>
      </c>
      <c r="C612" s="75">
        <f ca="1">IFERROR(__xludf.DUMMYFUNCTION("""COMPUTED_VALUE"""),50)</f>
        <v>50</v>
      </c>
      <c r="D612" s="75">
        <f ca="1">IFERROR(__xludf.DUMMYFUNCTION("""COMPUTED_VALUE"""),20)</f>
        <v>20</v>
      </c>
      <c r="E612" s="76">
        <f ca="1">IFERROR(__xludf.DUMMYFUNCTION("""COMPUTED_VALUE"""),70)</f>
        <v>70</v>
      </c>
      <c r="F612" s="77">
        <f ca="1">IFERROR(__xludf.DUMMYFUNCTION("""COMPUTED_VALUE"""),10020069)</f>
        <v>10020069</v>
      </c>
      <c r="G612" s="77" t="str">
        <f t="shared" ca="1" si="2"/>
        <v>si</v>
      </c>
    </row>
    <row r="613" spans="1:7" ht="12.75" x14ac:dyDescent="0.2">
      <c r="A613" s="62">
        <f ca="1">IFERROR(__xludf.DUMMYFUNCTION("""COMPUTED_VALUE"""),10020072)</f>
        <v>10020072</v>
      </c>
      <c r="B613" s="62"/>
      <c r="C613" s="75">
        <f ca="1">IFERROR(__xludf.DUMMYFUNCTION("""COMPUTED_VALUE"""),40)</f>
        <v>40</v>
      </c>
      <c r="D613" s="75">
        <f ca="1">IFERROR(__xludf.DUMMYFUNCTION("""COMPUTED_VALUE"""),20)</f>
        <v>20</v>
      </c>
      <c r="E613" s="76">
        <f ca="1">IFERROR(__xludf.DUMMYFUNCTION("""COMPUTED_VALUE"""),60)</f>
        <v>60</v>
      </c>
      <c r="F613" s="77">
        <f ca="1">IFERROR(__xludf.DUMMYFUNCTION("""COMPUTED_VALUE"""),10020072)</f>
        <v>10020072</v>
      </c>
      <c r="G613" s="77" t="str">
        <f t="shared" ca="1" si="2"/>
        <v>si</v>
      </c>
    </row>
    <row r="614" spans="1:7" ht="12.75" x14ac:dyDescent="0.2">
      <c r="A614" s="62">
        <f ca="1">IFERROR(__xludf.DUMMYFUNCTION("""COMPUTED_VALUE"""),10020071)</f>
        <v>10020071</v>
      </c>
      <c r="B614" s="62" t="str">
        <f ca="1">IFERROR(__xludf.DUMMYFUNCTION("""COMPUTED_VALUE"""),"Baterias Celulares Samsung J7 2016 Sin Logo")</f>
        <v>Baterias Celulares Samsung J7 2016 Sin Logo</v>
      </c>
      <c r="C614" s="75">
        <f ca="1">IFERROR(__xludf.DUMMYFUNCTION("""COMPUTED_VALUE"""),40)</f>
        <v>40</v>
      </c>
      <c r="D614" s="75">
        <f ca="1">IFERROR(__xludf.DUMMYFUNCTION("""COMPUTED_VALUE"""),20)</f>
        <v>20</v>
      </c>
      <c r="E614" s="76">
        <f ca="1">IFERROR(__xludf.DUMMYFUNCTION("""COMPUTED_VALUE"""),60)</f>
        <v>60</v>
      </c>
      <c r="F614" s="77">
        <f ca="1">IFERROR(__xludf.DUMMYFUNCTION("""COMPUTED_VALUE"""),10020071)</f>
        <v>10020071</v>
      </c>
      <c r="G614" s="77" t="str">
        <f t="shared" ca="1" si="2"/>
        <v>si</v>
      </c>
    </row>
    <row r="615" spans="1:7" ht="12.75" x14ac:dyDescent="0.2">
      <c r="A615" s="62">
        <f ca="1">IFERROR(__xludf.DUMMYFUNCTION("""COMPUTED_VALUE"""),10020073)</f>
        <v>10020073</v>
      </c>
      <c r="B615" s="62" t="str">
        <f ca="1">IFERROR(__xludf.DUMMYFUNCTION("""COMPUTED_VALUE"""),"Baterias Celulares Samsung J7 Pro Sin Logo")</f>
        <v>Baterias Celulares Samsung J7 Pro Sin Logo</v>
      </c>
      <c r="C615" s="75">
        <f ca="1">IFERROR(__xludf.DUMMYFUNCTION("""COMPUTED_VALUE"""),40)</f>
        <v>40</v>
      </c>
      <c r="D615" s="75">
        <f ca="1">IFERROR(__xludf.DUMMYFUNCTION("""COMPUTED_VALUE"""),20)</f>
        <v>20</v>
      </c>
      <c r="E615" s="76">
        <f ca="1">IFERROR(__xludf.DUMMYFUNCTION("""COMPUTED_VALUE"""),60)</f>
        <v>60</v>
      </c>
      <c r="F615" s="77">
        <f ca="1">IFERROR(__xludf.DUMMYFUNCTION("""COMPUTED_VALUE"""),10020073)</f>
        <v>10020073</v>
      </c>
      <c r="G615" s="77" t="str">
        <f t="shared" ca="1" si="2"/>
        <v>si</v>
      </c>
    </row>
    <row r="616" spans="1:7" ht="12.75" x14ac:dyDescent="0.2">
      <c r="A616" s="62">
        <f ca="1">IFERROR(__xludf.DUMMYFUNCTION("""COMPUTED_VALUE"""),10020074)</f>
        <v>10020074</v>
      </c>
      <c r="B616" s="62" t="str">
        <f ca="1">IFERROR(__xludf.DUMMYFUNCTION("""COMPUTED_VALUE"""),"Baterias Celulares Samsung Note 5 Sin Logo")</f>
        <v>Baterias Celulares Samsung Note 5 Sin Logo</v>
      </c>
      <c r="C616" s="75">
        <f ca="1">IFERROR(__xludf.DUMMYFUNCTION("""COMPUTED_VALUE"""),40)</f>
        <v>40</v>
      </c>
      <c r="D616" s="75">
        <f ca="1">IFERROR(__xludf.DUMMYFUNCTION("""COMPUTED_VALUE"""),20)</f>
        <v>20</v>
      </c>
      <c r="E616" s="76">
        <f ca="1">IFERROR(__xludf.DUMMYFUNCTION("""COMPUTED_VALUE"""),60)</f>
        <v>60</v>
      </c>
      <c r="F616" s="77">
        <f ca="1">IFERROR(__xludf.DUMMYFUNCTION("""COMPUTED_VALUE"""),10020074)</f>
        <v>10020074</v>
      </c>
      <c r="G616" s="77" t="str">
        <f t="shared" ca="1" si="2"/>
        <v>si</v>
      </c>
    </row>
    <row r="617" spans="1:7" ht="12.75" x14ac:dyDescent="0.2">
      <c r="A617" s="62">
        <f ca="1">IFERROR(__xludf.DUMMYFUNCTION("""COMPUTED_VALUE"""),10020075)</f>
        <v>10020075</v>
      </c>
      <c r="B617" s="62" t="str">
        <f ca="1">IFERROR(__xludf.DUMMYFUNCTION("""COMPUTED_VALUE"""),"Baterias Celulares Samsung Note 8 Sin Logo")</f>
        <v>Baterias Celulares Samsung Note 8 Sin Logo</v>
      </c>
      <c r="C617" s="75">
        <f ca="1">IFERROR(__xludf.DUMMYFUNCTION("""COMPUTED_VALUE"""),60)</f>
        <v>60</v>
      </c>
      <c r="D617" s="75">
        <f ca="1">IFERROR(__xludf.DUMMYFUNCTION("""COMPUTED_VALUE"""),50)</f>
        <v>50</v>
      </c>
      <c r="E617" s="76">
        <f ca="1">IFERROR(__xludf.DUMMYFUNCTION("""COMPUTED_VALUE"""),110)</f>
        <v>110</v>
      </c>
      <c r="F617" s="77">
        <f ca="1">IFERROR(__xludf.DUMMYFUNCTION("""COMPUTED_VALUE"""),10020075)</f>
        <v>10020075</v>
      </c>
      <c r="G617" s="77" t="str">
        <f t="shared" ca="1" si="2"/>
        <v>si</v>
      </c>
    </row>
    <row r="618" spans="1:7" ht="12.75" x14ac:dyDescent="0.2">
      <c r="A618" s="62">
        <f ca="1">IFERROR(__xludf.DUMMYFUNCTION("""COMPUTED_VALUE"""),10020067)</f>
        <v>10020067</v>
      </c>
      <c r="B618" s="62" t="str">
        <f ca="1">IFERROR(__xludf.DUMMYFUNCTION("""COMPUTED_VALUE"""),"Baterias Celulares Samsung E7 Con Logo")</f>
        <v>Baterias Celulares Samsung E7 Con Logo</v>
      </c>
      <c r="C618" s="75">
        <f ca="1">IFERROR(__xludf.DUMMYFUNCTION("""COMPUTED_VALUE"""),40)</f>
        <v>40</v>
      </c>
      <c r="D618" s="75">
        <f ca="1">IFERROR(__xludf.DUMMYFUNCTION("""COMPUTED_VALUE"""),50)</f>
        <v>50</v>
      </c>
      <c r="E618" s="76">
        <f ca="1">IFERROR(__xludf.DUMMYFUNCTION("""COMPUTED_VALUE"""),90)</f>
        <v>90</v>
      </c>
      <c r="F618" s="77">
        <f ca="1">IFERROR(__xludf.DUMMYFUNCTION("""COMPUTED_VALUE"""),10020067)</f>
        <v>10020067</v>
      </c>
      <c r="G618" s="77" t="str">
        <f t="shared" ca="1" si="2"/>
        <v>si</v>
      </c>
    </row>
    <row r="619" spans="1:7" ht="12.75" x14ac:dyDescent="0.2">
      <c r="A619" s="62">
        <f ca="1">IFERROR(__xludf.DUMMYFUNCTION("""COMPUTED_VALUE"""),10160159)</f>
        <v>10160159</v>
      </c>
      <c r="B619" s="62" t="str">
        <f ca="1">IFERROR(__xludf.DUMMYFUNCTION("""COMPUTED_VALUE"""),"Baterias Celulares Samsung S10")</f>
        <v>Baterias Celulares Samsung S10</v>
      </c>
      <c r="C619" s="75">
        <f ca="1">IFERROR(__xludf.DUMMYFUNCTION("""COMPUTED_VALUE"""),120)</f>
        <v>120</v>
      </c>
      <c r="D619" s="75">
        <f ca="1">IFERROR(__xludf.DUMMYFUNCTION("""COMPUTED_VALUE"""),50)</f>
        <v>50</v>
      </c>
      <c r="E619" s="76">
        <f ca="1">IFERROR(__xludf.DUMMYFUNCTION("""COMPUTED_VALUE"""),170)</f>
        <v>170</v>
      </c>
      <c r="F619" s="77">
        <f ca="1">IFERROR(__xludf.DUMMYFUNCTION("""COMPUTED_VALUE"""),10160159)</f>
        <v>10160159</v>
      </c>
      <c r="G619" s="77" t="str">
        <f t="shared" ca="1" si="2"/>
        <v>si</v>
      </c>
    </row>
    <row r="620" spans="1:7" ht="12.75" x14ac:dyDescent="0.2">
      <c r="A620" s="62">
        <f ca="1">IFERROR(__xludf.DUMMYFUNCTION("""COMPUTED_VALUE"""),10160160)</f>
        <v>10160160</v>
      </c>
      <c r="B620" s="62" t="str">
        <f ca="1">IFERROR(__xludf.DUMMYFUNCTION("""COMPUTED_VALUE"""),"Baterias Celulares Samsung S10 Plus")</f>
        <v>Baterias Celulares Samsung S10 Plus</v>
      </c>
      <c r="C620" s="75">
        <f ca="1">IFERROR(__xludf.DUMMYFUNCTION("""COMPUTED_VALUE"""),120)</f>
        <v>120</v>
      </c>
      <c r="D620" s="75">
        <f ca="1">IFERROR(__xludf.DUMMYFUNCTION("""COMPUTED_VALUE"""),50)</f>
        <v>50</v>
      </c>
      <c r="E620" s="76">
        <f ca="1">IFERROR(__xludf.DUMMYFUNCTION("""COMPUTED_VALUE"""),170)</f>
        <v>170</v>
      </c>
      <c r="F620" s="77">
        <f ca="1">IFERROR(__xludf.DUMMYFUNCTION("""COMPUTED_VALUE"""),10160160)</f>
        <v>10160160</v>
      </c>
      <c r="G620" s="77" t="str">
        <f t="shared" ca="1" si="2"/>
        <v>si</v>
      </c>
    </row>
    <row r="621" spans="1:7" ht="12.75" x14ac:dyDescent="0.2">
      <c r="A621" s="62">
        <f ca="1">IFERROR(__xludf.DUMMYFUNCTION("""COMPUTED_VALUE"""),10160161)</f>
        <v>10160161</v>
      </c>
      <c r="B621" s="62" t="str">
        <f ca="1">IFERROR(__xludf.DUMMYFUNCTION("""COMPUTED_VALUE"""),"Baterias Celulares Samsung Note 9")</f>
        <v>Baterias Celulares Samsung Note 9</v>
      </c>
      <c r="C621" s="75">
        <f ca="1">IFERROR(__xludf.DUMMYFUNCTION("""COMPUTED_VALUE"""),120)</f>
        <v>120</v>
      </c>
      <c r="D621" s="75">
        <f ca="1">IFERROR(__xludf.DUMMYFUNCTION("""COMPUTED_VALUE"""),50)</f>
        <v>50</v>
      </c>
      <c r="E621" s="76">
        <f ca="1">IFERROR(__xludf.DUMMYFUNCTION("""COMPUTED_VALUE"""),170)</f>
        <v>170</v>
      </c>
      <c r="F621" s="77">
        <f ca="1">IFERROR(__xludf.DUMMYFUNCTION("""COMPUTED_VALUE"""),10160161)</f>
        <v>10160161</v>
      </c>
      <c r="G621" s="77" t="str">
        <f t="shared" ca="1" si="2"/>
        <v>si</v>
      </c>
    </row>
    <row r="622" spans="1:7" ht="12.75" x14ac:dyDescent="0.2">
      <c r="A622" s="62">
        <f ca="1">IFERROR(__xludf.DUMMYFUNCTION("""COMPUTED_VALUE"""),10160162)</f>
        <v>10160162</v>
      </c>
      <c r="B622" s="62" t="str">
        <f ca="1">IFERROR(__xludf.DUMMYFUNCTION("""COMPUTED_VALUE"""),"Baterias Celulares Samsung Note 10")</f>
        <v>Baterias Celulares Samsung Note 10</v>
      </c>
      <c r="C622" s="75">
        <f ca="1">IFERROR(__xludf.DUMMYFUNCTION("""COMPUTED_VALUE"""),120)</f>
        <v>120</v>
      </c>
      <c r="D622" s="75">
        <f ca="1">IFERROR(__xludf.DUMMYFUNCTION("""COMPUTED_VALUE"""),50)</f>
        <v>50</v>
      </c>
      <c r="E622" s="76">
        <f ca="1">IFERROR(__xludf.DUMMYFUNCTION("""COMPUTED_VALUE"""),170)</f>
        <v>170</v>
      </c>
      <c r="F622" s="77">
        <f ca="1">IFERROR(__xludf.DUMMYFUNCTION("""COMPUTED_VALUE"""),10160162)</f>
        <v>10160162</v>
      </c>
      <c r="G622" s="77" t="str">
        <f t="shared" ca="1" si="2"/>
        <v>si</v>
      </c>
    </row>
    <row r="623" spans="1:7" ht="12.75" x14ac:dyDescent="0.2">
      <c r="A623" s="62">
        <f ca="1">IFERROR(__xludf.DUMMYFUNCTION("""COMPUTED_VALUE"""),10160163)</f>
        <v>10160163</v>
      </c>
      <c r="B623" s="62" t="str">
        <f ca="1">IFERROR(__xludf.DUMMYFUNCTION("""COMPUTED_VALUE"""),"Baterias Celulares Samsung Note 10 Plus")</f>
        <v>Baterias Celulares Samsung Note 10 Plus</v>
      </c>
      <c r="C623" s="75">
        <f ca="1">IFERROR(__xludf.DUMMYFUNCTION("""COMPUTED_VALUE"""),120)</f>
        <v>120</v>
      </c>
      <c r="D623" s="75">
        <f ca="1">IFERROR(__xludf.DUMMYFUNCTION("""COMPUTED_VALUE"""),50)</f>
        <v>50</v>
      </c>
      <c r="E623" s="76">
        <f ca="1">IFERROR(__xludf.DUMMYFUNCTION("""COMPUTED_VALUE"""),170)</f>
        <v>170</v>
      </c>
      <c r="F623" s="77">
        <f ca="1">IFERROR(__xludf.DUMMYFUNCTION("""COMPUTED_VALUE"""),10160163)</f>
        <v>10160163</v>
      </c>
      <c r="G623" s="77" t="str">
        <f t="shared" ca="1" si="2"/>
        <v>si</v>
      </c>
    </row>
    <row r="624" spans="1:7" ht="12.75" x14ac:dyDescent="0.2">
      <c r="A624" s="62">
        <f ca="1">IFERROR(__xludf.DUMMYFUNCTION("""COMPUTED_VALUE"""),10160164)</f>
        <v>10160164</v>
      </c>
      <c r="B624" s="62" t="str">
        <f ca="1">IFERROR(__xludf.DUMMYFUNCTION("""COMPUTED_VALUE"""),"Baterias Celulares Samsung A20")</f>
        <v>Baterias Celulares Samsung A20</v>
      </c>
      <c r="C624" s="75">
        <f ca="1">IFERROR(__xludf.DUMMYFUNCTION("""COMPUTED_VALUE"""),80)</f>
        <v>80</v>
      </c>
      <c r="D624" s="75">
        <f ca="1">IFERROR(__xludf.DUMMYFUNCTION("""COMPUTED_VALUE"""),30)</f>
        <v>30</v>
      </c>
      <c r="E624" s="76">
        <f ca="1">IFERROR(__xludf.DUMMYFUNCTION("""COMPUTED_VALUE"""),110)</f>
        <v>110</v>
      </c>
      <c r="F624" s="77">
        <f ca="1">IFERROR(__xludf.DUMMYFUNCTION("""COMPUTED_VALUE"""),10160164)</f>
        <v>10160164</v>
      </c>
      <c r="G624" s="77" t="str">
        <f t="shared" ca="1" si="2"/>
        <v>si</v>
      </c>
    </row>
    <row r="625" spans="1:7" ht="12.75" x14ac:dyDescent="0.2">
      <c r="A625" s="62">
        <f ca="1">IFERROR(__xludf.DUMMYFUNCTION("""COMPUTED_VALUE"""),10160165)</f>
        <v>10160165</v>
      </c>
      <c r="B625" s="62" t="str">
        <f ca="1">IFERROR(__xludf.DUMMYFUNCTION("""COMPUTED_VALUE"""),"Baterias Celulares Samsung A10S - A20S ")</f>
        <v xml:space="preserve">Baterias Celulares Samsung A10S - A20S </v>
      </c>
      <c r="C625" s="75">
        <f ca="1">IFERROR(__xludf.DUMMYFUNCTION("""COMPUTED_VALUE"""),80)</f>
        <v>80</v>
      </c>
      <c r="D625" s="75">
        <f ca="1">IFERROR(__xludf.DUMMYFUNCTION("""COMPUTED_VALUE"""),30)</f>
        <v>30</v>
      </c>
      <c r="E625" s="76">
        <f ca="1">IFERROR(__xludf.DUMMYFUNCTION("""COMPUTED_VALUE"""),110)</f>
        <v>110</v>
      </c>
      <c r="F625" s="77">
        <f ca="1">IFERROR(__xludf.DUMMYFUNCTION("""COMPUTED_VALUE"""),10160165)</f>
        <v>10160165</v>
      </c>
      <c r="G625" s="77" t="str">
        <f t="shared" ca="1" si="2"/>
        <v>si</v>
      </c>
    </row>
    <row r="626" spans="1:7" ht="12.75" x14ac:dyDescent="0.2">
      <c r="A626" s="62">
        <f ca="1">IFERROR(__xludf.DUMMYFUNCTION("""COMPUTED_VALUE"""),10160166)</f>
        <v>10160166</v>
      </c>
      <c r="B626" s="62" t="str">
        <f ca="1">IFERROR(__xludf.DUMMYFUNCTION("""COMPUTED_VALUE"""),"Baterias Celulares Samsung A11")</f>
        <v>Baterias Celulares Samsung A11</v>
      </c>
      <c r="C626" s="75">
        <f ca="1">IFERROR(__xludf.DUMMYFUNCTION("""COMPUTED_VALUE"""),80)</f>
        <v>80</v>
      </c>
      <c r="D626" s="75">
        <f ca="1">IFERROR(__xludf.DUMMYFUNCTION("""COMPUTED_VALUE"""),30)</f>
        <v>30</v>
      </c>
      <c r="E626" s="76">
        <f ca="1">IFERROR(__xludf.DUMMYFUNCTION("""COMPUTED_VALUE"""),110)</f>
        <v>110</v>
      </c>
      <c r="F626" s="77">
        <f ca="1">IFERROR(__xludf.DUMMYFUNCTION("""COMPUTED_VALUE"""),10160166)</f>
        <v>10160166</v>
      </c>
      <c r="G626" s="77" t="str">
        <f t="shared" ca="1" si="2"/>
        <v>si</v>
      </c>
    </row>
    <row r="627" spans="1:7" ht="12.75" x14ac:dyDescent="0.2">
      <c r="A627" s="62">
        <f ca="1">IFERROR(__xludf.DUMMYFUNCTION("""COMPUTED_VALUE"""),10020127)</f>
        <v>10020127</v>
      </c>
      <c r="B627" s="62" t="str">
        <f ca="1">IFERROR(__xludf.DUMMYFUNCTION("""COMPUTED_VALUE"""),"Baterias Celulares Samsung A12")</f>
        <v>Baterias Celulares Samsung A12</v>
      </c>
      <c r="C627" s="75">
        <f ca="1">IFERROR(__xludf.DUMMYFUNCTION("""COMPUTED_VALUE"""),80)</f>
        <v>80</v>
      </c>
      <c r="D627" s="75">
        <f ca="1">IFERROR(__xludf.DUMMYFUNCTION("""COMPUTED_VALUE"""),30)</f>
        <v>30</v>
      </c>
      <c r="E627" s="76">
        <f ca="1">IFERROR(__xludf.DUMMYFUNCTION("""COMPUTED_VALUE"""),110)</f>
        <v>110</v>
      </c>
      <c r="F627" s="77">
        <f ca="1">IFERROR(__xludf.DUMMYFUNCTION("""COMPUTED_VALUE"""),10020127)</f>
        <v>10020127</v>
      </c>
      <c r="G627" s="77" t="str">
        <f t="shared" ca="1" si="2"/>
        <v>si</v>
      </c>
    </row>
    <row r="628" spans="1:7" ht="12.75" x14ac:dyDescent="0.2">
      <c r="A628" s="62">
        <f ca="1">IFERROR(__xludf.DUMMYFUNCTION("""COMPUTED_VALUE"""),10020128)</f>
        <v>10020128</v>
      </c>
      <c r="B628" s="62" t="str">
        <f ca="1">IFERROR(__xludf.DUMMYFUNCTION("""COMPUTED_VALUE"""),"Baterias Celulares Samsung A30")</f>
        <v>Baterias Celulares Samsung A30</v>
      </c>
      <c r="C628" s="75">
        <f ca="1">IFERROR(__xludf.DUMMYFUNCTION("""COMPUTED_VALUE"""),80)</f>
        <v>80</v>
      </c>
      <c r="D628" s="75">
        <f ca="1">IFERROR(__xludf.DUMMYFUNCTION("""COMPUTED_VALUE"""),30)</f>
        <v>30</v>
      </c>
      <c r="E628" s="76">
        <f ca="1">IFERROR(__xludf.DUMMYFUNCTION("""COMPUTED_VALUE"""),110)</f>
        <v>110</v>
      </c>
      <c r="F628" s="77">
        <f ca="1">IFERROR(__xludf.DUMMYFUNCTION("""COMPUTED_VALUE"""),10020128)</f>
        <v>10020128</v>
      </c>
      <c r="G628" s="77" t="str">
        <f t="shared" ca="1" si="2"/>
        <v>si</v>
      </c>
    </row>
    <row r="629" spans="1:7" ht="12.75" x14ac:dyDescent="0.2">
      <c r="A629" s="62">
        <f ca="1">IFERROR(__xludf.DUMMYFUNCTION("""COMPUTED_VALUE"""),10020129)</f>
        <v>10020129</v>
      </c>
      <c r="B629" s="62" t="str">
        <f ca="1">IFERROR(__xludf.DUMMYFUNCTION("""COMPUTED_VALUE"""),"Baterias Celulares Samsung A30S")</f>
        <v>Baterias Celulares Samsung A30S</v>
      </c>
      <c r="C629" s="75">
        <f ca="1">IFERROR(__xludf.DUMMYFUNCTION("""COMPUTED_VALUE"""),80)</f>
        <v>80</v>
      </c>
      <c r="D629" s="75">
        <f ca="1">IFERROR(__xludf.DUMMYFUNCTION("""COMPUTED_VALUE"""),30)</f>
        <v>30</v>
      </c>
      <c r="E629" s="76">
        <f ca="1">IFERROR(__xludf.DUMMYFUNCTION("""COMPUTED_VALUE"""),110)</f>
        <v>110</v>
      </c>
      <c r="F629" s="77">
        <f ca="1">IFERROR(__xludf.DUMMYFUNCTION("""COMPUTED_VALUE"""),10020129)</f>
        <v>10020129</v>
      </c>
      <c r="G629" s="77" t="str">
        <f t="shared" ca="1" si="2"/>
        <v>si</v>
      </c>
    </row>
    <row r="630" spans="1:7" ht="12.75" x14ac:dyDescent="0.2">
      <c r="A630" s="62">
        <f ca="1">IFERROR(__xludf.DUMMYFUNCTION("""COMPUTED_VALUE"""),10020130)</f>
        <v>10020130</v>
      </c>
      <c r="B630" s="62" t="str">
        <f ca="1">IFERROR(__xludf.DUMMYFUNCTION("""COMPUTED_VALUE"""),"Baterias Celulares Samsung A50")</f>
        <v>Baterias Celulares Samsung A50</v>
      </c>
      <c r="C630" s="75">
        <f ca="1">IFERROR(__xludf.DUMMYFUNCTION("""COMPUTED_VALUE"""),80)</f>
        <v>80</v>
      </c>
      <c r="D630" s="75">
        <f ca="1">IFERROR(__xludf.DUMMYFUNCTION("""COMPUTED_VALUE"""),30)</f>
        <v>30</v>
      </c>
      <c r="E630" s="76">
        <f ca="1">IFERROR(__xludf.DUMMYFUNCTION("""COMPUTED_VALUE"""),110)</f>
        <v>110</v>
      </c>
      <c r="F630" s="77">
        <f ca="1">IFERROR(__xludf.DUMMYFUNCTION("""COMPUTED_VALUE"""),10020130)</f>
        <v>10020130</v>
      </c>
      <c r="G630" s="77" t="str">
        <f t="shared" ca="1" si="2"/>
        <v>si</v>
      </c>
    </row>
    <row r="631" spans="1:7" ht="12.75" x14ac:dyDescent="0.2">
      <c r="A631" s="62">
        <f ca="1">IFERROR(__xludf.DUMMYFUNCTION("""COMPUTED_VALUE"""),10020131)</f>
        <v>10020131</v>
      </c>
      <c r="B631" s="62" t="str">
        <f ca="1">IFERROR(__xludf.DUMMYFUNCTION("""COMPUTED_VALUE"""),"Baterias Celulares Samsung A70")</f>
        <v>Baterias Celulares Samsung A70</v>
      </c>
      <c r="C631" s="75">
        <f ca="1">IFERROR(__xludf.DUMMYFUNCTION("""COMPUTED_VALUE"""),100)</f>
        <v>100</v>
      </c>
      <c r="D631" s="75">
        <f ca="1">IFERROR(__xludf.DUMMYFUNCTION("""COMPUTED_VALUE"""),30)</f>
        <v>30</v>
      </c>
      <c r="E631" s="76">
        <f ca="1">IFERROR(__xludf.DUMMYFUNCTION("""COMPUTED_VALUE"""),130)</f>
        <v>130</v>
      </c>
      <c r="F631" s="77">
        <f ca="1">IFERROR(__xludf.DUMMYFUNCTION("""COMPUTED_VALUE"""),10020131)</f>
        <v>10020131</v>
      </c>
      <c r="G631" s="77" t="str">
        <f t="shared" ca="1" si="2"/>
        <v>si</v>
      </c>
    </row>
    <row r="632" spans="1:7" ht="12.75" x14ac:dyDescent="0.2">
      <c r="A632" s="62">
        <f ca="1">IFERROR(__xludf.DUMMYFUNCTION("""COMPUTED_VALUE"""),10020132)</f>
        <v>10020132</v>
      </c>
      <c r="B632" s="62" t="str">
        <f ca="1">IFERROR(__xludf.DUMMYFUNCTION("""COMPUTED_VALUE"""),"Baterias Celulares Samsung A71")</f>
        <v>Baterias Celulares Samsung A71</v>
      </c>
      <c r="C632" s="75">
        <f ca="1">IFERROR(__xludf.DUMMYFUNCTION("""COMPUTED_VALUE"""),100)</f>
        <v>100</v>
      </c>
      <c r="D632" s="75">
        <f ca="1">IFERROR(__xludf.DUMMYFUNCTION("""COMPUTED_VALUE"""),30)</f>
        <v>30</v>
      </c>
      <c r="E632" s="76">
        <f ca="1">IFERROR(__xludf.DUMMYFUNCTION("""COMPUTED_VALUE"""),130)</f>
        <v>130</v>
      </c>
      <c r="F632" s="77">
        <f ca="1">IFERROR(__xludf.DUMMYFUNCTION("""COMPUTED_VALUE"""),10020132)</f>
        <v>10020132</v>
      </c>
      <c r="G632" s="77" t="str">
        <f t="shared" ca="1" si="2"/>
        <v>si</v>
      </c>
    </row>
    <row r="633" spans="1:7" ht="12.75" x14ac:dyDescent="0.2">
      <c r="A633" s="62">
        <f ca="1">IFERROR(__xludf.DUMMYFUNCTION("""COMPUTED_VALUE"""),10020133)</f>
        <v>10020133</v>
      </c>
      <c r="B633" s="62" t="str">
        <f ca="1">IFERROR(__xludf.DUMMYFUNCTION("""COMPUTED_VALUE"""),"Baterias Celulares Samsung A51")</f>
        <v>Baterias Celulares Samsung A51</v>
      </c>
      <c r="C633" s="75">
        <f ca="1">IFERROR(__xludf.DUMMYFUNCTION("""COMPUTED_VALUE"""),100)</f>
        <v>100</v>
      </c>
      <c r="D633" s="75">
        <f ca="1">IFERROR(__xludf.DUMMYFUNCTION("""COMPUTED_VALUE"""),30)</f>
        <v>30</v>
      </c>
      <c r="E633" s="76">
        <f ca="1">IFERROR(__xludf.DUMMYFUNCTION("""COMPUTED_VALUE"""),130)</f>
        <v>130</v>
      </c>
      <c r="F633" s="77">
        <f ca="1">IFERROR(__xludf.DUMMYFUNCTION("""COMPUTED_VALUE"""),10020133)</f>
        <v>10020133</v>
      </c>
      <c r="G633" s="77" t="str">
        <f t="shared" ca="1" si="2"/>
        <v>si</v>
      </c>
    </row>
    <row r="634" spans="1:7" ht="12.75" x14ac:dyDescent="0.2">
      <c r="A634" s="62">
        <f ca="1">IFERROR(__xludf.DUMMYFUNCTION("""COMPUTED_VALUE"""),10020134)</f>
        <v>10020134</v>
      </c>
      <c r="B634" s="62" t="str">
        <f ca="1">IFERROR(__xludf.DUMMYFUNCTION("""COMPUTED_VALUE"""),"Baterias Celulares Samsung A80")</f>
        <v>Baterias Celulares Samsung A80</v>
      </c>
      <c r="C634" s="75">
        <f ca="1">IFERROR(__xludf.DUMMYFUNCTION("""COMPUTED_VALUE"""),100)</f>
        <v>100</v>
      </c>
      <c r="D634" s="75">
        <f ca="1">IFERROR(__xludf.DUMMYFUNCTION("""COMPUTED_VALUE"""),30)</f>
        <v>30</v>
      </c>
      <c r="E634" s="76">
        <f ca="1">IFERROR(__xludf.DUMMYFUNCTION("""COMPUTED_VALUE"""),130)</f>
        <v>130</v>
      </c>
      <c r="F634" s="77">
        <f ca="1">IFERROR(__xludf.DUMMYFUNCTION("""COMPUTED_VALUE"""),10020134)</f>
        <v>10020134</v>
      </c>
      <c r="G634" s="77" t="str">
        <f t="shared" ca="1" si="2"/>
        <v>si</v>
      </c>
    </row>
    <row r="635" spans="1:7" ht="12.75" x14ac:dyDescent="0.2">
      <c r="A635" s="62">
        <f ca="1">IFERROR(__xludf.DUMMYFUNCTION("""COMPUTED_VALUE"""),10020135)</f>
        <v>10020135</v>
      </c>
      <c r="B635" s="62" t="str">
        <f ca="1">IFERROR(__xludf.DUMMYFUNCTION("""COMPUTED_VALUE"""),"Baterias Celulares Samsung A31")</f>
        <v>Baterias Celulares Samsung A31</v>
      </c>
      <c r="C635" s="75">
        <f ca="1">IFERROR(__xludf.DUMMYFUNCTION("""COMPUTED_VALUE"""),100)</f>
        <v>100</v>
      </c>
      <c r="D635" s="75">
        <f ca="1">IFERROR(__xludf.DUMMYFUNCTION("""COMPUTED_VALUE"""),30)</f>
        <v>30</v>
      </c>
      <c r="E635" s="76">
        <f ca="1">IFERROR(__xludf.DUMMYFUNCTION("""COMPUTED_VALUE"""),130)</f>
        <v>130</v>
      </c>
      <c r="F635" s="77">
        <f ca="1">IFERROR(__xludf.DUMMYFUNCTION("""COMPUTED_VALUE"""),10020135)</f>
        <v>10020135</v>
      </c>
      <c r="G635" s="77" t="str">
        <f t="shared" ca="1" si="2"/>
        <v>si</v>
      </c>
    </row>
    <row r="636" spans="1:7" ht="12.75" x14ac:dyDescent="0.2">
      <c r="A636" s="62">
        <f ca="1">IFERROR(__xludf.DUMMYFUNCTION("""COMPUTED_VALUE"""),10020146)</f>
        <v>10020146</v>
      </c>
      <c r="B636" s="62" t="str">
        <f ca="1">IFERROR(__xludf.DUMMYFUNCTION("""COMPUTED_VALUE"""),"Bateria SAMSUNG GALAXY BOOK 2017 10.6"" ")</f>
        <v>Bateria SAMSUNG GALAXY BOOK 2017 10.6" </v>
      </c>
      <c r="C636" s="75">
        <f ca="1">IFERROR(__xludf.DUMMYFUNCTION("""COMPUTED_VALUE"""),260)</f>
        <v>260</v>
      </c>
      <c r="D636" s="75">
        <f ca="1">IFERROR(__xludf.DUMMYFUNCTION("""COMPUTED_VALUE"""),100)</f>
        <v>100</v>
      </c>
      <c r="E636" s="76">
        <f ca="1">IFERROR(__xludf.DUMMYFUNCTION("""COMPUTED_VALUE"""),360)</f>
        <v>360</v>
      </c>
      <c r="F636" s="77">
        <f ca="1">IFERROR(__xludf.DUMMYFUNCTION("""COMPUTED_VALUE"""),10020146)</f>
        <v>10020146</v>
      </c>
      <c r="G636" s="77" t="str">
        <f t="shared" ca="1" si="2"/>
        <v>si</v>
      </c>
    </row>
    <row r="637" spans="1:7" ht="12.75" x14ac:dyDescent="0.2">
      <c r="A637" s="62">
        <f ca="1">IFERROR(__xludf.DUMMYFUNCTION("""COMPUTED_VALUE"""),10020153)</f>
        <v>10020153</v>
      </c>
      <c r="B637" s="62" t="str">
        <f ca="1">IFERROR(__xludf.DUMMYFUNCTION("""COMPUTED_VALUE"""),"Bateria Samsung Galaxy M11")</f>
        <v>Bateria Samsung Galaxy M11</v>
      </c>
      <c r="C637" s="75">
        <f ca="1">IFERROR(__xludf.DUMMYFUNCTION("""COMPUTED_VALUE"""),150)</f>
        <v>150</v>
      </c>
      <c r="D637" s="75">
        <f ca="1">IFERROR(__xludf.DUMMYFUNCTION("""COMPUTED_VALUE"""),100)</f>
        <v>100</v>
      </c>
      <c r="E637" s="76">
        <f ca="1">IFERROR(__xludf.DUMMYFUNCTION("""COMPUTED_VALUE"""),250)</f>
        <v>250</v>
      </c>
      <c r="F637" s="77">
        <f ca="1">IFERROR(__xludf.DUMMYFUNCTION("""COMPUTED_VALUE"""),10020153)</f>
        <v>10020153</v>
      </c>
      <c r="G637" s="77" t="str">
        <f t="shared" ca="1" si="2"/>
        <v>si</v>
      </c>
    </row>
    <row r="638" spans="1:7" ht="12.75" x14ac:dyDescent="0.2">
      <c r="A638" s="62">
        <f ca="1">IFERROR(__xludf.DUMMYFUNCTION("""COMPUTED_VALUE"""),10020154)</f>
        <v>10020154</v>
      </c>
      <c r="B638" s="62" t="str">
        <f ca="1">IFERROR(__xludf.DUMMYFUNCTION("""COMPUTED_VALUE"""),"Bateria Samsung Galaxy M31")</f>
        <v>Bateria Samsung Galaxy M31</v>
      </c>
      <c r="C638" s="75">
        <f ca="1">IFERROR(__xludf.DUMMYFUNCTION("""COMPUTED_VALUE"""),160)</f>
        <v>160</v>
      </c>
      <c r="D638" s="75">
        <f ca="1">IFERROR(__xludf.DUMMYFUNCTION("""COMPUTED_VALUE"""),100)</f>
        <v>100</v>
      </c>
      <c r="E638" s="76">
        <f ca="1">IFERROR(__xludf.DUMMYFUNCTION("""COMPUTED_VALUE"""),260)</f>
        <v>260</v>
      </c>
      <c r="F638" s="77">
        <f ca="1">IFERROR(__xludf.DUMMYFUNCTION("""COMPUTED_VALUE"""),10020154)</f>
        <v>10020154</v>
      </c>
      <c r="G638" s="77" t="str">
        <f t="shared" ca="1" si="2"/>
        <v>si</v>
      </c>
    </row>
    <row r="639" spans="1:7" ht="12.75" x14ac:dyDescent="0.2">
      <c r="A639" s="62">
        <f ca="1">IFERROR(__xludf.DUMMYFUNCTION("""COMPUTED_VALUE"""),10020155)</f>
        <v>10020155</v>
      </c>
      <c r="B639" s="62" t="str">
        <f ca="1">IFERROR(__xludf.DUMMYFUNCTION("""COMPUTED_VALUE"""),"Bateria Samsung Galaxy M51")</f>
        <v>Bateria Samsung Galaxy M51</v>
      </c>
      <c r="C639" s="75">
        <f ca="1">IFERROR(__xludf.DUMMYFUNCTION("""COMPUTED_VALUE"""),150)</f>
        <v>150</v>
      </c>
      <c r="D639" s="75">
        <f ca="1">IFERROR(__xludf.DUMMYFUNCTION("""COMPUTED_VALUE"""),100)</f>
        <v>100</v>
      </c>
      <c r="E639" s="76">
        <f ca="1">IFERROR(__xludf.DUMMYFUNCTION("""COMPUTED_VALUE"""),250)</f>
        <v>250</v>
      </c>
      <c r="F639" s="77">
        <f ca="1">IFERROR(__xludf.DUMMYFUNCTION("""COMPUTED_VALUE"""),10020155)</f>
        <v>10020155</v>
      </c>
      <c r="G639" s="77" t="str">
        <f t="shared" ca="1" si="2"/>
        <v>si</v>
      </c>
    </row>
    <row r="640" spans="1:7" ht="12.75" x14ac:dyDescent="0.2">
      <c r="A640" s="62">
        <f ca="1">IFERROR(__xludf.DUMMYFUNCTION("""COMPUTED_VALUE"""),10020156)</f>
        <v>10020156</v>
      </c>
      <c r="B640" s="62" t="str">
        <f ca="1">IFERROR(__xludf.DUMMYFUNCTION("""COMPUTED_VALUE"""),"Bateria Samsung M52 5G")</f>
        <v>Bateria Samsung M52 5G</v>
      </c>
      <c r="C640" s="75">
        <f ca="1">IFERROR(__xludf.DUMMYFUNCTION("""COMPUTED_VALUE"""),150)</f>
        <v>150</v>
      </c>
      <c r="D640" s="75">
        <f ca="1">IFERROR(__xludf.DUMMYFUNCTION("""COMPUTED_VALUE"""),100)</f>
        <v>100</v>
      </c>
      <c r="E640" s="76">
        <f ca="1">IFERROR(__xludf.DUMMYFUNCTION("""COMPUTED_VALUE"""),250)</f>
        <v>250</v>
      </c>
      <c r="F640" s="77">
        <f ca="1">IFERROR(__xludf.DUMMYFUNCTION("""COMPUTED_VALUE"""),10020156)</f>
        <v>10020156</v>
      </c>
      <c r="G640" s="77" t="str">
        <f t="shared" ca="1" si="2"/>
        <v>si</v>
      </c>
    </row>
    <row r="641" spans="1:7" ht="12.75" x14ac:dyDescent="0.2">
      <c r="A641" s="62">
        <f ca="1">IFERROR(__xludf.DUMMYFUNCTION("""COMPUTED_VALUE"""),10020141)</f>
        <v>10020141</v>
      </c>
      <c r="B641" s="62" t="str">
        <f ca="1">IFERROR(__xludf.DUMMYFUNCTION("""COMPUTED_VALUE"""),"Bateria SAMSUNG GALAXY NOTE 20")</f>
        <v>Bateria SAMSUNG GALAXY NOTE 20</v>
      </c>
      <c r="C641" s="75">
        <f ca="1">IFERROR(__xludf.DUMMYFUNCTION("""COMPUTED_VALUE"""),200)</f>
        <v>200</v>
      </c>
      <c r="D641" s="75">
        <f ca="1">IFERROR(__xludf.DUMMYFUNCTION("""COMPUTED_VALUE"""),100)</f>
        <v>100</v>
      </c>
      <c r="E641" s="76">
        <f ca="1">IFERROR(__xludf.DUMMYFUNCTION("""COMPUTED_VALUE"""),300)</f>
        <v>300</v>
      </c>
      <c r="F641" s="77">
        <f ca="1">IFERROR(__xludf.DUMMYFUNCTION("""COMPUTED_VALUE"""),10020141)</f>
        <v>10020141</v>
      </c>
      <c r="G641" s="77" t="str">
        <f t="shared" ca="1" si="2"/>
        <v>si</v>
      </c>
    </row>
    <row r="642" spans="1:7" ht="12.75" x14ac:dyDescent="0.2">
      <c r="A642" s="62">
        <f ca="1">IFERROR(__xludf.DUMMYFUNCTION("""COMPUTED_VALUE"""),10020152)</f>
        <v>10020152</v>
      </c>
      <c r="B642" s="62" t="str">
        <f ca="1">IFERROR(__xludf.DUMMYFUNCTION("""COMPUTED_VALUE"""),"Bateria Samsung Galaxy Note 20 Ultra")</f>
        <v>Bateria Samsung Galaxy Note 20 Ultra</v>
      </c>
      <c r="C642" s="75">
        <f ca="1">IFERROR(__xludf.DUMMYFUNCTION("""COMPUTED_VALUE"""),260)</f>
        <v>260</v>
      </c>
      <c r="D642" s="75">
        <f ca="1">IFERROR(__xludf.DUMMYFUNCTION("""COMPUTED_VALUE"""),100)</f>
        <v>100</v>
      </c>
      <c r="E642" s="76">
        <f ca="1">IFERROR(__xludf.DUMMYFUNCTION("""COMPUTED_VALUE"""),360)</f>
        <v>360</v>
      </c>
      <c r="F642" s="77">
        <f ca="1">IFERROR(__xludf.DUMMYFUNCTION("""COMPUTED_VALUE"""),10020152)</f>
        <v>10020152</v>
      </c>
      <c r="G642" s="77" t="str">
        <f t="shared" ca="1" si="2"/>
        <v>si</v>
      </c>
    </row>
    <row r="643" spans="1:7" ht="12.75" x14ac:dyDescent="0.2">
      <c r="A643" s="62">
        <f ca="1">IFERROR(__xludf.DUMMYFUNCTION("""COMPUTED_VALUE"""),10020147)</f>
        <v>10020147</v>
      </c>
      <c r="B643" s="62" t="str">
        <f ca="1">IFERROR(__xludf.DUMMYFUNCTION("""COMPUTED_VALUE"""),"Bateria SAMSUNG GALAXY S10 LITE")</f>
        <v>Bateria SAMSUNG GALAXY S10 LITE</v>
      </c>
      <c r="C643" s="75">
        <f ca="1">IFERROR(__xludf.DUMMYFUNCTION("""COMPUTED_VALUE"""),150)</f>
        <v>150</v>
      </c>
      <c r="D643" s="75">
        <f ca="1">IFERROR(__xludf.DUMMYFUNCTION("""COMPUTED_VALUE"""),100)</f>
        <v>100</v>
      </c>
      <c r="E643" s="76">
        <f ca="1">IFERROR(__xludf.DUMMYFUNCTION("""COMPUTED_VALUE"""),250)</f>
        <v>250</v>
      </c>
      <c r="F643" s="77">
        <f ca="1">IFERROR(__xludf.DUMMYFUNCTION("""COMPUTED_VALUE"""),10020147)</f>
        <v>10020147</v>
      </c>
      <c r="G643" s="77" t="str">
        <f t="shared" ca="1" si="2"/>
        <v>si</v>
      </c>
    </row>
    <row r="644" spans="1:7" ht="12.75" x14ac:dyDescent="0.2">
      <c r="A644" s="62">
        <f ca="1">IFERROR(__xludf.DUMMYFUNCTION("""COMPUTED_VALUE"""),10020138)</f>
        <v>10020138</v>
      </c>
      <c r="B644" s="62" t="str">
        <f ca="1">IFERROR(__xludf.DUMMYFUNCTION("""COMPUTED_VALUE"""),"Bateria Samsung Galaxy S10e")</f>
        <v>Bateria Samsung Galaxy S10e</v>
      </c>
      <c r="C644" s="75">
        <f ca="1">IFERROR(__xludf.DUMMYFUNCTION("""COMPUTED_VALUE"""),150)</f>
        <v>150</v>
      </c>
      <c r="D644" s="75">
        <f ca="1">IFERROR(__xludf.DUMMYFUNCTION("""COMPUTED_VALUE"""),100)</f>
        <v>100</v>
      </c>
      <c r="E644" s="76">
        <f ca="1">IFERROR(__xludf.DUMMYFUNCTION("""COMPUTED_VALUE"""),250)</f>
        <v>250</v>
      </c>
      <c r="F644" s="77">
        <f ca="1">IFERROR(__xludf.DUMMYFUNCTION("""COMPUTED_VALUE"""),10020138)</f>
        <v>10020138</v>
      </c>
      <c r="G644" s="77" t="str">
        <f t="shared" ca="1" si="2"/>
        <v>si</v>
      </c>
    </row>
    <row r="645" spans="1:7" ht="12.75" x14ac:dyDescent="0.2">
      <c r="A645" s="62">
        <f ca="1">IFERROR(__xludf.DUMMYFUNCTION("""COMPUTED_VALUE"""),10020139)</f>
        <v>10020139</v>
      </c>
      <c r="B645" s="62" t="str">
        <f ca="1">IFERROR(__xludf.DUMMYFUNCTION("""COMPUTED_VALUE"""),"Bateria Samsung Galaxy  S20")</f>
        <v>Bateria Samsung Galaxy  S20</v>
      </c>
      <c r="C645" s="75">
        <f ca="1">IFERROR(__xludf.DUMMYFUNCTION("""COMPUTED_VALUE"""),150)</f>
        <v>150</v>
      </c>
      <c r="D645" s="75">
        <f ca="1">IFERROR(__xludf.DUMMYFUNCTION("""COMPUTED_VALUE"""),100)</f>
        <v>100</v>
      </c>
      <c r="E645" s="76">
        <f ca="1">IFERROR(__xludf.DUMMYFUNCTION("""COMPUTED_VALUE"""),250)</f>
        <v>250</v>
      </c>
      <c r="F645" s="77">
        <f ca="1">IFERROR(__xludf.DUMMYFUNCTION("""COMPUTED_VALUE"""),10020139)</f>
        <v>10020139</v>
      </c>
      <c r="G645" s="77" t="str">
        <f t="shared" ca="1" si="2"/>
        <v>si</v>
      </c>
    </row>
    <row r="646" spans="1:7" ht="12.75" x14ac:dyDescent="0.2">
      <c r="A646" s="62">
        <f ca="1">IFERROR(__xludf.DUMMYFUNCTION("""COMPUTED_VALUE"""),10020145)</f>
        <v>10020145</v>
      </c>
      <c r="B646" s="62" t="str">
        <f ca="1">IFERROR(__xludf.DUMMYFUNCTION("""COMPUTED_VALUE"""),"Bateria Samsung Galaxy S20 FE 4G")</f>
        <v>Bateria Samsung Galaxy S20 FE 4G</v>
      </c>
      <c r="C646" s="75">
        <f ca="1">IFERROR(__xludf.DUMMYFUNCTION("""COMPUTED_VALUE"""),170)</f>
        <v>170</v>
      </c>
      <c r="D646" s="75">
        <f ca="1">IFERROR(__xludf.DUMMYFUNCTION("""COMPUTED_VALUE"""),100)</f>
        <v>100</v>
      </c>
      <c r="E646" s="76">
        <f ca="1">IFERROR(__xludf.DUMMYFUNCTION("""COMPUTED_VALUE"""),270)</f>
        <v>270</v>
      </c>
      <c r="F646" s="77">
        <f ca="1">IFERROR(__xludf.DUMMYFUNCTION("""COMPUTED_VALUE"""),10020145)</f>
        <v>10020145</v>
      </c>
      <c r="G646" s="77" t="str">
        <f t="shared" ca="1" si="2"/>
        <v>si</v>
      </c>
    </row>
    <row r="647" spans="1:7" ht="12.75" x14ac:dyDescent="0.2">
      <c r="A647" s="62">
        <f ca="1">IFERROR(__xludf.DUMMYFUNCTION("""COMPUTED_VALUE"""),10020143)</f>
        <v>10020143</v>
      </c>
      <c r="B647" s="62" t="str">
        <f ca="1">IFERROR(__xludf.DUMMYFUNCTION("""COMPUTED_VALUE"""),"Bateria  Samsung Galaxy  S20 Plus")</f>
        <v>Bateria  Samsung Galaxy  S20 Plus</v>
      </c>
      <c r="C647" s="75">
        <f ca="1">IFERROR(__xludf.DUMMYFUNCTION("""COMPUTED_VALUE"""),200)</f>
        <v>200</v>
      </c>
      <c r="D647" s="75">
        <f ca="1">IFERROR(__xludf.DUMMYFUNCTION("""COMPUTED_VALUE"""),100)</f>
        <v>100</v>
      </c>
      <c r="E647" s="76">
        <f ca="1">IFERROR(__xludf.DUMMYFUNCTION("""COMPUTED_VALUE"""),300)</f>
        <v>300</v>
      </c>
      <c r="F647" s="77">
        <f ca="1">IFERROR(__xludf.DUMMYFUNCTION("""COMPUTED_VALUE"""),10020143)</f>
        <v>10020143</v>
      </c>
      <c r="G647" s="77" t="str">
        <f t="shared" ca="1" si="2"/>
        <v>si</v>
      </c>
    </row>
    <row r="648" spans="1:7" ht="12.75" x14ac:dyDescent="0.2">
      <c r="A648" s="62">
        <f ca="1">IFERROR(__xludf.DUMMYFUNCTION("""COMPUTED_VALUE"""),10020144)</f>
        <v>10020144</v>
      </c>
      <c r="B648" s="62" t="str">
        <f ca="1">IFERROR(__xludf.DUMMYFUNCTION("""COMPUTED_VALUE"""),"Bateria  Samsung Galaxy  S20 Ultra")</f>
        <v>Bateria  Samsung Galaxy  S20 Ultra</v>
      </c>
      <c r="C648" s="75">
        <f ca="1">IFERROR(__xludf.DUMMYFUNCTION("""COMPUTED_VALUE"""),200)</f>
        <v>200</v>
      </c>
      <c r="D648" s="75">
        <f ca="1">IFERROR(__xludf.DUMMYFUNCTION("""COMPUTED_VALUE"""),100)</f>
        <v>100</v>
      </c>
      <c r="E648" s="76">
        <f ca="1">IFERROR(__xludf.DUMMYFUNCTION("""COMPUTED_VALUE"""),300)</f>
        <v>300</v>
      </c>
      <c r="F648" s="77">
        <f ca="1">IFERROR(__xludf.DUMMYFUNCTION("""COMPUTED_VALUE"""),10020144)</f>
        <v>10020144</v>
      </c>
      <c r="G648" s="77" t="str">
        <f t="shared" ca="1" si="2"/>
        <v>si</v>
      </c>
    </row>
    <row r="649" spans="1:7" ht="12.75" x14ac:dyDescent="0.2">
      <c r="A649" s="62">
        <f ca="1">IFERROR(__xludf.DUMMYFUNCTION("""COMPUTED_VALUE"""),10020142)</f>
        <v>10020142</v>
      </c>
      <c r="B649" s="62" t="str">
        <f ca="1">IFERROR(__xludf.DUMMYFUNCTION("""COMPUTED_VALUE"""),"Bateria  Samsung Galaxy  S21 5g")</f>
        <v>Bateria  Samsung Galaxy  S21 5g</v>
      </c>
      <c r="C649" s="75">
        <f ca="1">IFERROR(__xludf.DUMMYFUNCTION("""COMPUTED_VALUE"""),200)</f>
        <v>200</v>
      </c>
      <c r="D649" s="75">
        <f ca="1">IFERROR(__xludf.DUMMYFUNCTION("""COMPUTED_VALUE"""),100)</f>
        <v>100</v>
      </c>
      <c r="E649" s="76">
        <f ca="1">IFERROR(__xludf.DUMMYFUNCTION("""COMPUTED_VALUE"""),300)</f>
        <v>300</v>
      </c>
      <c r="F649" s="77">
        <f ca="1">IFERROR(__xludf.DUMMYFUNCTION("""COMPUTED_VALUE"""),10020142)</f>
        <v>10020142</v>
      </c>
      <c r="G649" s="77" t="str">
        <f t="shared" ca="1" si="2"/>
        <v>si</v>
      </c>
    </row>
    <row r="650" spans="1:7" ht="12.75" x14ac:dyDescent="0.2">
      <c r="A650" s="62">
        <f ca="1">IFERROR(__xludf.DUMMYFUNCTION("""COMPUTED_VALUE"""),10020140)</f>
        <v>10020140</v>
      </c>
      <c r="B650" s="62" t="str">
        <f ca="1">IFERROR(__xludf.DUMMYFUNCTION("""COMPUTED_VALUE"""),"Bateria  Samsung Galaxy  S21 Plus 5g")</f>
        <v>Bateria  Samsung Galaxy  S21 Plus 5g</v>
      </c>
      <c r="C650" s="75">
        <f ca="1">IFERROR(__xludf.DUMMYFUNCTION("""COMPUTED_VALUE"""),250)</f>
        <v>250</v>
      </c>
      <c r="D650" s="75">
        <f ca="1">IFERROR(__xludf.DUMMYFUNCTION("""COMPUTED_VALUE"""),100)</f>
        <v>100</v>
      </c>
      <c r="E650" s="76">
        <f ca="1">IFERROR(__xludf.DUMMYFUNCTION("""COMPUTED_VALUE"""),350)</f>
        <v>350</v>
      </c>
      <c r="F650" s="77">
        <f ca="1">IFERROR(__xludf.DUMMYFUNCTION("""COMPUTED_VALUE"""),10020140)</f>
        <v>10020140</v>
      </c>
      <c r="G650" s="77" t="str">
        <f t="shared" ca="1" si="2"/>
        <v>si</v>
      </c>
    </row>
    <row r="651" spans="1:7" ht="12.75" x14ac:dyDescent="0.2">
      <c r="A651" s="62">
        <f ca="1">IFERROR(__xludf.DUMMYFUNCTION("""COMPUTED_VALUE"""),10020148)</f>
        <v>10020148</v>
      </c>
      <c r="B651" s="62" t="str">
        <f ca="1">IFERROR(__xludf.DUMMYFUNCTION("""COMPUTED_VALUE"""),"Bateria Samsung Galaxy  S21 Ultra 5g")</f>
        <v>Bateria Samsung Galaxy  S21 Ultra 5g</v>
      </c>
      <c r="C651" s="75">
        <f ca="1">IFERROR(__xludf.DUMMYFUNCTION("""COMPUTED_VALUE"""),300)</f>
        <v>300</v>
      </c>
      <c r="D651" s="75">
        <f ca="1">IFERROR(__xludf.DUMMYFUNCTION("""COMPUTED_VALUE"""),100)</f>
        <v>100</v>
      </c>
      <c r="E651" s="76">
        <f ca="1">IFERROR(__xludf.DUMMYFUNCTION("""COMPUTED_VALUE"""),400)</f>
        <v>400</v>
      </c>
      <c r="F651" s="77">
        <f ca="1">IFERROR(__xludf.DUMMYFUNCTION("""COMPUTED_VALUE"""),10020148)</f>
        <v>10020148</v>
      </c>
      <c r="G651" s="77" t="str">
        <f t="shared" ca="1" si="2"/>
        <v>si</v>
      </c>
    </row>
    <row r="652" spans="1:7" ht="12.75" x14ac:dyDescent="0.2">
      <c r="A652" s="62">
        <f ca="1">IFERROR(__xludf.DUMMYFUNCTION("""COMPUTED_VALUE"""),10020149)</f>
        <v>10020149</v>
      </c>
      <c r="B652" s="62" t="str">
        <f ca="1">IFERROR(__xludf.DUMMYFUNCTION("""COMPUTED_VALUE"""),"Bateria Samsung Galaxy Tab 3 Lite")</f>
        <v>Bateria Samsung Galaxy Tab 3 Lite</v>
      </c>
      <c r="C652" s="75">
        <f ca="1">IFERROR(__xludf.DUMMYFUNCTION("""COMPUTED_VALUE"""),100)</f>
        <v>100</v>
      </c>
      <c r="D652" s="75">
        <f ca="1">IFERROR(__xludf.DUMMYFUNCTION("""COMPUTED_VALUE"""),150)</f>
        <v>150</v>
      </c>
      <c r="E652" s="76">
        <f ca="1">IFERROR(__xludf.DUMMYFUNCTION("""COMPUTED_VALUE"""),250)</f>
        <v>250</v>
      </c>
      <c r="F652" s="77">
        <f ca="1">IFERROR(__xludf.DUMMYFUNCTION("""COMPUTED_VALUE"""),10020149)</f>
        <v>10020149</v>
      </c>
      <c r="G652" s="77" t="str">
        <f t="shared" ca="1" si="2"/>
        <v>si</v>
      </c>
    </row>
    <row r="653" spans="1:7" ht="12.75" x14ac:dyDescent="0.2">
      <c r="A653" s="62">
        <f ca="1">IFERROR(__xludf.DUMMYFUNCTION("""COMPUTED_VALUE"""),10020150)</f>
        <v>10020150</v>
      </c>
      <c r="B653" s="62" t="str">
        <f ca="1">IFERROR(__xludf.DUMMYFUNCTION("""COMPUTED_VALUE"""),"Bateria Samsung Galaxy Tab 7.0 A")</f>
        <v>Bateria Samsung Galaxy Tab 7.0 A</v>
      </c>
      <c r="C653" s="75">
        <f ca="1">IFERROR(__xludf.DUMMYFUNCTION("""COMPUTED_VALUE"""),100)</f>
        <v>100</v>
      </c>
      <c r="D653" s="75">
        <f ca="1">IFERROR(__xludf.DUMMYFUNCTION("""COMPUTED_VALUE"""),150)</f>
        <v>150</v>
      </c>
      <c r="E653" s="76">
        <f ca="1">IFERROR(__xludf.DUMMYFUNCTION("""COMPUTED_VALUE"""),250)</f>
        <v>250</v>
      </c>
      <c r="F653" s="77">
        <f ca="1">IFERROR(__xludf.DUMMYFUNCTION("""COMPUTED_VALUE"""),10020150)</f>
        <v>10020150</v>
      </c>
      <c r="G653" s="77" t="str">
        <f t="shared" ca="1" si="2"/>
        <v>si</v>
      </c>
    </row>
    <row r="654" spans="1:7" ht="12.75" x14ac:dyDescent="0.2">
      <c r="A654" s="62">
        <f ca="1">IFERROR(__xludf.DUMMYFUNCTION("""COMPUTED_VALUE"""),10020151)</f>
        <v>10020151</v>
      </c>
      <c r="B654" s="62" t="str">
        <f ca="1">IFERROR(__xludf.DUMMYFUNCTION("""COMPUTED_VALUE"""),"Bateria Samsung Galaxy Tab A 10.1")</f>
        <v>Bateria Samsung Galaxy Tab A 10.1</v>
      </c>
      <c r="C654" s="75">
        <f ca="1">IFERROR(__xludf.DUMMYFUNCTION("""COMPUTED_VALUE"""),130)</f>
        <v>130</v>
      </c>
      <c r="D654" s="75">
        <f ca="1">IFERROR(__xludf.DUMMYFUNCTION("""COMPUTED_VALUE"""),150)</f>
        <v>150</v>
      </c>
      <c r="E654" s="76">
        <f ca="1">IFERROR(__xludf.DUMMYFUNCTION("""COMPUTED_VALUE"""),280)</f>
        <v>280</v>
      </c>
      <c r="F654" s="77">
        <f ca="1">IFERROR(__xludf.DUMMYFUNCTION("""COMPUTED_VALUE"""),10020151)</f>
        <v>10020151</v>
      </c>
      <c r="G654" s="77" t="str">
        <f t="shared" ca="1" si="2"/>
        <v>si</v>
      </c>
    </row>
    <row r="655" spans="1:7" ht="12.75" x14ac:dyDescent="0.2">
      <c r="A655" s="62">
        <f ca="1">IFERROR(__xludf.DUMMYFUNCTION("""COMPUTED_VALUE"""),10020157)</f>
        <v>10020157</v>
      </c>
      <c r="B655" s="62" t="str">
        <f ca="1">IFERROR(__xludf.DUMMYFUNCTION("""COMPUTED_VALUE"""),"Bateria Samsung Galaxy Tab A 10.1 2016 LTE")</f>
        <v>Bateria Samsung Galaxy Tab A 10.1 2016 LTE</v>
      </c>
      <c r="C655" s="75">
        <f ca="1">IFERROR(__xludf.DUMMYFUNCTION("""COMPUTED_VALUE"""),250)</f>
        <v>250</v>
      </c>
      <c r="D655" s="75">
        <f ca="1">IFERROR(__xludf.DUMMYFUNCTION("""COMPUTED_VALUE"""),150)</f>
        <v>150</v>
      </c>
      <c r="E655" s="76">
        <f ca="1">IFERROR(__xludf.DUMMYFUNCTION("""COMPUTED_VALUE"""),400)</f>
        <v>400</v>
      </c>
      <c r="F655" s="77">
        <f ca="1">IFERROR(__xludf.DUMMYFUNCTION("""COMPUTED_VALUE"""),10020157)</f>
        <v>10020157</v>
      </c>
      <c r="G655" s="77" t="str">
        <f t="shared" ca="1" si="2"/>
        <v>si</v>
      </c>
    </row>
    <row r="656" spans="1:7" ht="12.75" x14ac:dyDescent="0.2">
      <c r="A656" s="62">
        <f ca="1">IFERROR(__xludf.DUMMYFUNCTION("""COMPUTED_VALUE"""),10020158)</f>
        <v>10020158</v>
      </c>
      <c r="B656" s="62" t="str">
        <f ca="1">IFERROR(__xludf.DUMMYFUNCTION("""COMPUTED_VALUE"""),"Bateria SAMSUNG GALAXY TAB A 10.5 WI-FI")</f>
        <v>Bateria SAMSUNG GALAXY TAB A 10.5 WI-FI</v>
      </c>
      <c r="C656" s="75">
        <f ca="1">IFERROR(__xludf.DUMMYFUNCTION("""COMPUTED_VALUE"""),170)</f>
        <v>170</v>
      </c>
      <c r="D656" s="75">
        <f ca="1">IFERROR(__xludf.DUMMYFUNCTION("""COMPUTED_VALUE"""),150)</f>
        <v>150</v>
      </c>
      <c r="E656" s="76">
        <f ca="1">IFERROR(__xludf.DUMMYFUNCTION("""COMPUTED_VALUE"""),320)</f>
        <v>320</v>
      </c>
      <c r="F656" s="77">
        <f ca="1">IFERROR(__xludf.DUMMYFUNCTION("""COMPUTED_VALUE"""),10020158)</f>
        <v>10020158</v>
      </c>
      <c r="G656" s="77" t="str">
        <f t="shared" ca="1" si="2"/>
        <v>si</v>
      </c>
    </row>
    <row r="657" spans="1:7" ht="12.75" x14ac:dyDescent="0.2">
      <c r="A657" s="62">
        <f ca="1">IFERROR(__xludf.DUMMYFUNCTION("""COMPUTED_VALUE"""),10020159)</f>
        <v>10020159</v>
      </c>
      <c r="B657" s="62" t="str">
        <f ca="1">IFERROR(__xludf.DUMMYFUNCTION("""COMPUTED_VALUE"""),"Bateria Samsung Galaxy Tab A 8")</f>
        <v>Bateria Samsung Galaxy Tab A 8</v>
      </c>
      <c r="C657" s="75">
        <f ca="1">IFERROR(__xludf.DUMMYFUNCTION("""COMPUTED_VALUE"""),130)</f>
        <v>130</v>
      </c>
      <c r="D657" s="75">
        <f ca="1">IFERROR(__xludf.DUMMYFUNCTION("""COMPUTED_VALUE"""),150)</f>
        <v>150</v>
      </c>
      <c r="E657" s="76">
        <f ca="1">IFERROR(__xludf.DUMMYFUNCTION("""COMPUTED_VALUE"""),280)</f>
        <v>280</v>
      </c>
      <c r="F657" s="77">
        <f ca="1">IFERROR(__xludf.DUMMYFUNCTION("""COMPUTED_VALUE"""),10020159)</f>
        <v>10020159</v>
      </c>
      <c r="G657" s="77" t="str">
        <f t="shared" ca="1" si="2"/>
        <v>si</v>
      </c>
    </row>
    <row r="658" spans="1:7" ht="12.75" x14ac:dyDescent="0.2">
      <c r="A658" s="62">
        <f ca="1">IFERROR(__xludf.DUMMYFUNCTION("""COMPUTED_VALUE"""),10020160)</f>
        <v>10020160</v>
      </c>
      <c r="B658" s="62" t="str">
        <f ca="1">IFERROR(__xludf.DUMMYFUNCTION("""COMPUTED_VALUE"""),"Bateria Samsung Galaxy Tab A7 10.4""")</f>
        <v>Bateria Samsung Galaxy Tab A7 10.4"</v>
      </c>
      <c r="C658" s="75">
        <f ca="1">IFERROR(__xludf.DUMMYFUNCTION("""COMPUTED_VALUE"""),160)</f>
        <v>160</v>
      </c>
      <c r="D658" s="75">
        <f ca="1">IFERROR(__xludf.DUMMYFUNCTION("""COMPUTED_VALUE"""),150)</f>
        <v>150</v>
      </c>
      <c r="E658" s="76">
        <f ca="1">IFERROR(__xludf.DUMMYFUNCTION("""COMPUTED_VALUE"""),310)</f>
        <v>310</v>
      </c>
      <c r="F658" s="77">
        <f ca="1">IFERROR(__xludf.DUMMYFUNCTION("""COMPUTED_VALUE"""),10020160)</f>
        <v>10020160</v>
      </c>
      <c r="G658" s="77" t="str">
        <f t="shared" ca="1" si="2"/>
        <v>si</v>
      </c>
    </row>
    <row r="659" spans="1:7" ht="12.75" x14ac:dyDescent="0.2">
      <c r="A659" s="62">
        <f ca="1">IFERROR(__xludf.DUMMYFUNCTION("""COMPUTED_VALUE"""),10020161)</f>
        <v>10020161</v>
      </c>
      <c r="B659" s="62" t="str">
        <f ca="1">IFERROR(__xludf.DUMMYFUNCTION("""COMPUTED_VALUE"""),"Bateria Samsung Galaxy Tab A8 Wifi")</f>
        <v>Bateria Samsung Galaxy Tab A8 Wifi</v>
      </c>
      <c r="C659" s="75">
        <f ca="1">IFERROR(__xludf.DUMMYFUNCTION("""COMPUTED_VALUE"""),220)</f>
        <v>220</v>
      </c>
      <c r="D659" s="75">
        <f ca="1">IFERROR(__xludf.DUMMYFUNCTION("""COMPUTED_VALUE"""),150)</f>
        <v>150</v>
      </c>
      <c r="E659" s="76">
        <f ca="1">IFERROR(__xludf.DUMMYFUNCTION("""COMPUTED_VALUE"""),370)</f>
        <v>370</v>
      </c>
      <c r="F659" s="77">
        <f ca="1">IFERROR(__xludf.DUMMYFUNCTION("""COMPUTED_VALUE"""),10020161)</f>
        <v>10020161</v>
      </c>
      <c r="G659" s="77" t="str">
        <f t="shared" ca="1" si="2"/>
        <v>si</v>
      </c>
    </row>
    <row r="660" spans="1:7" ht="12.75" x14ac:dyDescent="0.2">
      <c r="A660" s="62">
        <f ca="1">IFERROR(__xludf.DUMMYFUNCTION("""COMPUTED_VALUE"""),10020162)</f>
        <v>10020162</v>
      </c>
      <c r="B660" s="62" t="str">
        <f ca="1">IFERROR(__xludf.DUMMYFUNCTION("""COMPUTED_VALUE"""),"Bateria Samsung Galaxy Tab Active 3")</f>
        <v>Bateria Samsung Galaxy Tab Active 3</v>
      </c>
      <c r="C660" s="75">
        <f ca="1">IFERROR(__xludf.DUMMYFUNCTION("""COMPUTED_VALUE"""),150)</f>
        <v>150</v>
      </c>
      <c r="D660" s="75">
        <f ca="1">IFERROR(__xludf.DUMMYFUNCTION("""COMPUTED_VALUE"""),150)</f>
        <v>150</v>
      </c>
      <c r="E660" s="76">
        <f ca="1">IFERROR(__xludf.DUMMYFUNCTION("""COMPUTED_VALUE"""),300)</f>
        <v>300</v>
      </c>
      <c r="F660" s="77">
        <f ca="1">IFERROR(__xludf.DUMMYFUNCTION("""COMPUTED_VALUE"""),10020162)</f>
        <v>10020162</v>
      </c>
      <c r="G660" s="77" t="str">
        <f t="shared" ca="1" si="2"/>
        <v>si</v>
      </c>
    </row>
    <row r="661" spans="1:7" ht="12.75" x14ac:dyDescent="0.2">
      <c r="A661" s="62">
        <f ca="1">IFERROR(__xludf.DUMMYFUNCTION("""COMPUTED_VALUE"""),10020163)</f>
        <v>10020163</v>
      </c>
      <c r="B661" s="62" t="str">
        <f ca="1">IFERROR(__xludf.DUMMYFUNCTION("""COMPUTED_VALUE"""),"Bateria Samsung Galaxy Tab E")</f>
        <v>Bateria Samsung Galaxy Tab E</v>
      </c>
      <c r="C661" s="75">
        <f ca="1">IFERROR(__xludf.DUMMYFUNCTION("""COMPUTED_VALUE"""),110)</f>
        <v>110</v>
      </c>
      <c r="D661" s="75">
        <f ca="1">IFERROR(__xludf.DUMMYFUNCTION("""COMPUTED_VALUE"""),150)</f>
        <v>150</v>
      </c>
      <c r="E661" s="76">
        <f ca="1">IFERROR(__xludf.DUMMYFUNCTION("""COMPUTED_VALUE"""),260)</f>
        <v>260</v>
      </c>
      <c r="F661" s="77">
        <f ca="1">IFERROR(__xludf.DUMMYFUNCTION("""COMPUTED_VALUE"""),10020163)</f>
        <v>10020163</v>
      </c>
      <c r="G661" s="77" t="str">
        <f t="shared" ca="1" si="2"/>
        <v>si</v>
      </c>
    </row>
    <row r="662" spans="1:7" ht="12.75" x14ac:dyDescent="0.2">
      <c r="A662" s="62">
        <f ca="1">IFERROR(__xludf.DUMMYFUNCTION("""COMPUTED_VALUE"""),10020164)</f>
        <v>10020164</v>
      </c>
      <c r="B662" s="62" t="str">
        <f ca="1">IFERROR(__xludf.DUMMYFUNCTION("""COMPUTED_VALUE"""),"Bateria Samsung Galaxy Tab Pro S")</f>
        <v>Bateria Samsung Galaxy Tab Pro S</v>
      </c>
      <c r="C662" s="75">
        <f ca="1">IFERROR(__xludf.DUMMYFUNCTION("""COMPUTED_VALUE"""),280)</f>
        <v>280</v>
      </c>
      <c r="D662" s="75">
        <f ca="1">IFERROR(__xludf.DUMMYFUNCTION("""COMPUTED_VALUE"""),150)</f>
        <v>150</v>
      </c>
      <c r="E662" s="76">
        <f ca="1">IFERROR(__xludf.DUMMYFUNCTION("""COMPUTED_VALUE"""),430)</f>
        <v>430</v>
      </c>
      <c r="F662" s="77">
        <f ca="1">IFERROR(__xludf.DUMMYFUNCTION("""COMPUTED_VALUE"""),10020164)</f>
        <v>10020164</v>
      </c>
      <c r="G662" s="77" t="str">
        <f t="shared" ca="1" si="2"/>
        <v>si</v>
      </c>
    </row>
    <row r="663" spans="1:7" ht="12.75" x14ac:dyDescent="0.2">
      <c r="A663" s="62">
        <f ca="1">IFERROR(__xludf.DUMMYFUNCTION("""COMPUTED_VALUE"""),10020165)</f>
        <v>10020165</v>
      </c>
      <c r="B663" s="62" t="str">
        <f ca="1">IFERROR(__xludf.DUMMYFUNCTION("""COMPUTED_VALUE"""),"Bateria Samsung Galaxy Tab S3 9.7")</f>
        <v>Bateria Samsung Galaxy Tab S3 9.7</v>
      </c>
      <c r="C663" s="75">
        <f ca="1">IFERROR(__xludf.DUMMYFUNCTION("""COMPUTED_VALUE"""),170)</f>
        <v>170</v>
      </c>
      <c r="D663" s="75">
        <f ca="1">IFERROR(__xludf.DUMMYFUNCTION("""COMPUTED_VALUE"""),150)</f>
        <v>150</v>
      </c>
      <c r="E663" s="76">
        <f ca="1">IFERROR(__xludf.DUMMYFUNCTION("""COMPUTED_VALUE"""),320)</f>
        <v>320</v>
      </c>
      <c r="F663" s="77">
        <f ca="1">IFERROR(__xludf.DUMMYFUNCTION("""COMPUTED_VALUE"""),10020165)</f>
        <v>10020165</v>
      </c>
      <c r="G663" s="77" t="str">
        <f t="shared" ca="1" si="2"/>
        <v>si</v>
      </c>
    </row>
    <row r="664" spans="1:7" ht="12.75" x14ac:dyDescent="0.2">
      <c r="A664" s="62">
        <f ca="1">IFERROR(__xludf.DUMMYFUNCTION("""COMPUTED_VALUE"""),10020166)</f>
        <v>10020166</v>
      </c>
      <c r="B664" s="62" t="str">
        <f ca="1">IFERROR(__xludf.DUMMYFUNCTION("""COMPUTED_VALUE"""),"Bateria Samsung Galaxy Tab S4 10.5")</f>
        <v>Bateria Samsung Galaxy Tab S4 10.5</v>
      </c>
      <c r="C664" s="75">
        <f ca="1">IFERROR(__xludf.DUMMYFUNCTION("""COMPUTED_VALUE"""),310)</f>
        <v>310</v>
      </c>
      <c r="D664" s="75">
        <f ca="1">IFERROR(__xludf.DUMMYFUNCTION("""COMPUTED_VALUE"""),150)</f>
        <v>150</v>
      </c>
      <c r="E664" s="76">
        <f ca="1">IFERROR(__xludf.DUMMYFUNCTION("""COMPUTED_VALUE"""),460)</f>
        <v>460</v>
      </c>
      <c r="F664" s="77">
        <f ca="1">IFERROR(__xludf.DUMMYFUNCTION("""COMPUTED_VALUE"""),10020166)</f>
        <v>10020166</v>
      </c>
      <c r="G664" s="77" t="str">
        <f t="shared" ca="1" si="2"/>
        <v>si</v>
      </c>
    </row>
    <row r="665" spans="1:7" ht="12.75" x14ac:dyDescent="0.2">
      <c r="A665" s="62">
        <f ca="1">IFERROR(__xludf.DUMMYFUNCTION("""COMPUTED_VALUE"""),10020167)</f>
        <v>10020167</v>
      </c>
      <c r="B665" s="62" t="str">
        <f ca="1">IFERROR(__xludf.DUMMYFUNCTION("""COMPUTED_VALUE"""),"Bateria Samsung Galaxy Tab S5e")</f>
        <v>Bateria Samsung Galaxy Tab S5e</v>
      </c>
      <c r="C665" s="75">
        <f ca="1">IFERROR(__xludf.DUMMYFUNCTION("""COMPUTED_VALUE"""),150)</f>
        <v>150</v>
      </c>
      <c r="D665" s="75">
        <f ca="1">IFERROR(__xludf.DUMMYFUNCTION("""COMPUTED_VALUE"""),150)</f>
        <v>150</v>
      </c>
      <c r="E665" s="76">
        <f ca="1">IFERROR(__xludf.DUMMYFUNCTION("""COMPUTED_VALUE"""),300)</f>
        <v>300</v>
      </c>
      <c r="F665" s="77">
        <f ca="1">IFERROR(__xludf.DUMMYFUNCTION("""COMPUTED_VALUE"""),10020167)</f>
        <v>10020167</v>
      </c>
      <c r="G665" s="77" t="str">
        <f t="shared" ca="1" si="2"/>
        <v>si</v>
      </c>
    </row>
    <row r="666" spans="1:7" ht="12.75" x14ac:dyDescent="0.2">
      <c r="A666" s="62">
        <f ca="1">IFERROR(__xludf.DUMMYFUNCTION("""COMPUTED_VALUE"""),10020168)</f>
        <v>10020168</v>
      </c>
      <c r="B666" s="62" t="str">
        <f ca="1">IFERROR(__xludf.DUMMYFUNCTION("""COMPUTED_VALUE"""),"Bateria Samsung Galaxy Tab S6 Wifi/LTE")</f>
        <v>Bateria Samsung Galaxy Tab S6 Wifi/LTE</v>
      </c>
      <c r="C666" s="75">
        <f ca="1">IFERROR(__xludf.DUMMYFUNCTION("""COMPUTED_VALUE"""),180)</f>
        <v>180</v>
      </c>
      <c r="D666" s="75">
        <f ca="1">IFERROR(__xludf.DUMMYFUNCTION("""COMPUTED_VALUE"""),150)</f>
        <v>150</v>
      </c>
      <c r="E666" s="76">
        <f ca="1">IFERROR(__xludf.DUMMYFUNCTION("""COMPUTED_VALUE"""),330)</f>
        <v>330</v>
      </c>
      <c r="F666" s="77">
        <f ca="1">IFERROR(__xludf.DUMMYFUNCTION("""COMPUTED_VALUE"""),10020168)</f>
        <v>10020168</v>
      </c>
      <c r="G666" s="77" t="str">
        <f t="shared" ca="1" si="2"/>
        <v>si</v>
      </c>
    </row>
    <row r="667" spans="1:7" ht="12.75" x14ac:dyDescent="0.2">
      <c r="A667" s="62">
        <f ca="1">IFERROR(__xludf.DUMMYFUNCTION("""COMPUTED_VALUE"""),10020169)</f>
        <v>10020169</v>
      </c>
      <c r="B667" s="62" t="str">
        <f ca="1">IFERROR(__xludf.DUMMYFUNCTION("""COMPUTED_VALUE"""),"Bateria Samsung Galaxy Tab S7 ")</f>
        <v>Bateria Samsung Galaxy Tab S7 </v>
      </c>
      <c r="C667" s="75">
        <f ca="1">IFERROR(__xludf.DUMMYFUNCTION("""COMPUTED_VALUE"""),160)</f>
        <v>160</v>
      </c>
      <c r="D667" s="75">
        <f ca="1">IFERROR(__xludf.DUMMYFUNCTION("""COMPUTED_VALUE"""),150)</f>
        <v>150</v>
      </c>
      <c r="E667" s="76">
        <f ca="1">IFERROR(__xludf.DUMMYFUNCTION("""COMPUTED_VALUE"""),310)</f>
        <v>310</v>
      </c>
      <c r="F667" s="77">
        <f ca="1">IFERROR(__xludf.DUMMYFUNCTION("""COMPUTED_VALUE"""),10020169)</f>
        <v>10020169</v>
      </c>
      <c r="G667" s="77" t="str">
        <f t="shared" ca="1" si="2"/>
        <v>si</v>
      </c>
    </row>
    <row r="668" spans="1:7" ht="12.75" x14ac:dyDescent="0.2">
      <c r="A668" s="62">
        <f ca="1">IFERROR(__xludf.DUMMYFUNCTION("""COMPUTED_VALUE"""),10020170)</f>
        <v>10020170</v>
      </c>
      <c r="B668" s="62" t="str">
        <f ca="1">IFERROR(__xludf.DUMMYFUNCTION("""COMPUTED_VALUE"""),"Bateria Samsung Galaxy Tab S7 +")</f>
        <v>Bateria Samsung Galaxy Tab S7 +</v>
      </c>
      <c r="C668" s="75">
        <f ca="1">IFERROR(__xludf.DUMMYFUNCTION("""COMPUTED_VALUE"""),190)</f>
        <v>190</v>
      </c>
      <c r="D668" s="75">
        <f ca="1">IFERROR(__xludf.DUMMYFUNCTION("""COMPUTED_VALUE"""),150)</f>
        <v>150</v>
      </c>
      <c r="E668" s="76">
        <f ca="1">IFERROR(__xludf.DUMMYFUNCTION("""COMPUTED_VALUE"""),340)</f>
        <v>340</v>
      </c>
      <c r="F668" s="77">
        <f ca="1">IFERROR(__xludf.DUMMYFUNCTION("""COMPUTED_VALUE"""),10020170)</f>
        <v>10020170</v>
      </c>
      <c r="G668" s="77" t="str">
        <f t="shared" ca="1" si="2"/>
        <v>si</v>
      </c>
    </row>
    <row r="669" spans="1:7" ht="12.75" x14ac:dyDescent="0.2">
      <c r="A669" s="62">
        <f ca="1">IFERROR(__xludf.DUMMYFUNCTION("""COMPUTED_VALUE"""),10020171)</f>
        <v>10020171</v>
      </c>
      <c r="B669" s="62" t="str">
        <f ca="1">IFERROR(__xludf.DUMMYFUNCTION("""COMPUTED_VALUE"""),"Bateria SAMSUNG GALAXY Z FLIP")</f>
        <v>Bateria SAMSUNG GALAXY Z FLIP</v>
      </c>
      <c r="C669" s="75">
        <f ca="1">IFERROR(__xludf.DUMMYFUNCTION("""COMPUTED_VALUE"""),200)</f>
        <v>200</v>
      </c>
      <c r="D669" s="75">
        <f ca="1">IFERROR(__xludf.DUMMYFUNCTION("""COMPUTED_VALUE"""),150)</f>
        <v>150</v>
      </c>
      <c r="E669" s="76">
        <f ca="1">IFERROR(__xludf.DUMMYFUNCTION("""COMPUTED_VALUE"""),350)</f>
        <v>350</v>
      </c>
      <c r="F669" s="77">
        <f ca="1">IFERROR(__xludf.DUMMYFUNCTION("""COMPUTED_VALUE"""),10020171)</f>
        <v>10020171</v>
      </c>
      <c r="G669" s="77" t="str">
        <f t="shared" ca="1" si="2"/>
        <v>si</v>
      </c>
    </row>
    <row r="670" spans="1:7" ht="12.75" x14ac:dyDescent="0.2">
      <c r="A670" s="62">
        <f ca="1">IFERROR(__xludf.DUMMYFUNCTION("""COMPUTED_VALUE"""),10020172)</f>
        <v>10020172</v>
      </c>
      <c r="B670" s="62" t="str">
        <f ca="1">IFERROR(__xludf.DUMMYFUNCTION("""COMPUTED_VALUE"""),"Bateria Samsung Galaxy Z Fold 2 5G")</f>
        <v>Bateria Samsung Galaxy Z Fold 2 5G</v>
      </c>
      <c r="C670" s="75">
        <f ca="1">IFERROR(__xludf.DUMMYFUNCTION("""COMPUTED_VALUE"""),300)</f>
        <v>300</v>
      </c>
      <c r="D670" s="75">
        <f ca="1">IFERROR(__xludf.DUMMYFUNCTION("""COMPUTED_VALUE"""),150)</f>
        <v>150</v>
      </c>
      <c r="E670" s="76">
        <f ca="1">IFERROR(__xludf.DUMMYFUNCTION("""COMPUTED_VALUE"""),450)</f>
        <v>450</v>
      </c>
      <c r="F670" s="77">
        <f ca="1">IFERROR(__xludf.DUMMYFUNCTION("""COMPUTED_VALUE"""),10020172)</f>
        <v>10020172</v>
      </c>
      <c r="G670" s="77" t="str">
        <f t="shared" ca="1" si="2"/>
        <v>si</v>
      </c>
    </row>
    <row r="671" spans="1:7" ht="12.75" x14ac:dyDescent="0.2">
      <c r="A671" s="62">
        <f ca="1">IFERROR(__xludf.DUMMYFUNCTION("""COMPUTED_VALUE"""),10020173)</f>
        <v>10020173</v>
      </c>
      <c r="B671" s="62" t="str">
        <f ca="1">IFERROR(__xludf.DUMMYFUNCTION("""COMPUTED_VALUE"""),"Bateria Samsung Galaxy Z Fold 3 5G")</f>
        <v>Bateria Samsung Galaxy Z Fold 3 5G</v>
      </c>
      <c r="C671" s="75">
        <f ca="1">IFERROR(__xludf.DUMMYFUNCTION("""COMPUTED_VALUE"""),110)</f>
        <v>110</v>
      </c>
      <c r="D671" s="75">
        <f ca="1">IFERROR(__xludf.DUMMYFUNCTION("""COMPUTED_VALUE"""),150)</f>
        <v>150</v>
      </c>
      <c r="E671" s="76">
        <f ca="1">IFERROR(__xludf.DUMMYFUNCTION("""COMPUTED_VALUE"""),260)</f>
        <v>260</v>
      </c>
      <c r="F671" s="77">
        <f ca="1">IFERROR(__xludf.DUMMYFUNCTION("""COMPUTED_VALUE"""),10020173)</f>
        <v>10020173</v>
      </c>
      <c r="G671" s="77" t="str">
        <f t="shared" ca="1" si="2"/>
        <v>si</v>
      </c>
    </row>
    <row r="672" spans="1:7" ht="12.75" x14ac:dyDescent="0.2">
      <c r="A672" s="62">
        <f ca="1">IFERROR(__xludf.DUMMYFUNCTION("""COMPUTED_VALUE"""),10010494)</f>
        <v>10010494</v>
      </c>
      <c r="B672" s="62" t="str">
        <f ca="1">IFERROR(__xludf.DUMMYFUNCTION("""COMPUTED_VALUE"""),"Baterias Celulares Samsung A32 4G")</f>
        <v>Baterias Celulares Samsung A32 4G</v>
      </c>
      <c r="C672" s="75">
        <f ca="1">IFERROR(__xludf.DUMMYFUNCTION("""COMPUTED_VALUE"""),140)</f>
        <v>140</v>
      </c>
      <c r="D672" s="75">
        <f ca="1">IFERROR(__xludf.DUMMYFUNCTION("""COMPUTED_VALUE"""),50)</f>
        <v>50</v>
      </c>
      <c r="E672" s="76">
        <f ca="1">IFERROR(__xludf.DUMMYFUNCTION("""COMPUTED_VALUE"""),190)</f>
        <v>190</v>
      </c>
      <c r="F672" s="77">
        <f ca="1">IFERROR(__xludf.DUMMYFUNCTION("""COMPUTED_VALUE"""),10010494)</f>
        <v>10010494</v>
      </c>
      <c r="G672" s="77" t="str">
        <f t="shared" ca="1" si="2"/>
        <v>si</v>
      </c>
    </row>
    <row r="673" spans="1:7" ht="12.75" x14ac:dyDescent="0.2">
      <c r="A673" s="62">
        <f ca="1">IFERROR(__xludf.DUMMYFUNCTION("""COMPUTED_VALUE"""),10020174)</f>
        <v>10020174</v>
      </c>
      <c r="B673" s="62" t="str">
        <f ca="1">IFERROR(__xludf.DUMMYFUNCTION("""COMPUTED_VALUE"""),"Bateria Samsung Galaxy Z flip 3")</f>
        <v>Bateria Samsung Galaxy Z flip 3</v>
      </c>
      <c r="C673" s="75">
        <f ca="1">IFERROR(__xludf.DUMMYFUNCTION("""COMPUTED_VALUE"""),110)</f>
        <v>110</v>
      </c>
      <c r="D673" s="75">
        <f ca="1">IFERROR(__xludf.DUMMYFUNCTION("""COMPUTED_VALUE"""),150)</f>
        <v>150</v>
      </c>
      <c r="E673" s="76">
        <f ca="1">IFERROR(__xludf.DUMMYFUNCTION("""COMPUTED_VALUE"""),260)</f>
        <v>260</v>
      </c>
      <c r="F673" s="77">
        <f ca="1">IFERROR(__xludf.DUMMYFUNCTION("""COMPUTED_VALUE"""),10020174)</f>
        <v>10020174</v>
      </c>
      <c r="G673" s="77" t="str">
        <f t="shared" ca="1" si="2"/>
        <v>si</v>
      </c>
    </row>
    <row r="674" spans="1:7" ht="12.75" x14ac:dyDescent="0.2">
      <c r="A674" s="62">
        <f ca="1">IFERROR(__xludf.DUMMYFUNCTION("""COMPUTED_VALUE"""),10020183)</f>
        <v>10020183</v>
      </c>
      <c r="B674" s="62" t="str">
        <f ca="1">IFERROR(__xludf.DUMMYFUNCTION("""COMPUTED_VALUE"""),"Baterias Celulares Samsung A52 4G ")</f>
        <v xml:space="preserve">Baterias Celulares Samsung A52 4G </v>
      </c>
      <c r="C674" s="75">
        <f ca="1">IFERROR(__xludf.DUMMYFUNCTION("""COMPUTED_VALUE"""),140)</f>
        <v>140</v>
      </c>
      <c r="D674" s="75">
        <f ca="1">IFERROR(__xludf.DUMMYFUNCTION("""COMPUTED_VALUE"""),50)</f>
        <v>50</v>
      </c>
      <c r="E674" s="76">
        <f ca="1">IFERROR(__xludf.DUMMYFUNCTION("""COMPUTED_VALUE"""),190)</f>
        <v>190</v>
      </c>
      <c r="F674" s="77">
        <f ca="1">IFERROR(__xludf.DUMMYFUNCTION("""COMPUTED_VALUE"""),10020183)</f>
        <v>10020183</v>
      </c>
      <c r="G674" s="77" t="str">
        <f t="shared" ca="1" si="2"/>
        <v>si</v>
      </c>
    </row>
    <row r="675" spans="1:7" ht="12.75" x14ac:dyDescent="0.2">
      <c r="A675" s="62">
        <f ca="1">IFERROR(__xludf.DUMMYFUNCTION("""COMPUTED_VALUE"""),10020175)</f>
        <v>10020175</v>
      </c>
      <c r="B675" s="62" t="str">
        <f ca="1">IFERROR(__xludf.DUMMYFUNCTION("""COMPUTED_VALUE"""),"Bateria Samsung Tab A 9.7")</f>
        <v>Bateria Samsung Tab A 9.7</v>
      </c>
      <c r="C675" s="75">
        <f ca="1">IFERROR(__xludf.DUMMYFUNCTION("""COMPUTED_VALUE"""),130)</f>
        <v>130</v>
      </c>
      <c r="D675" s="75">
        <f ca="1">IFERROR(__xludf.DUMMYFUNCTION("""COMPUTED_VALUE"""),150)</f>
        <v>150</v>
      </c>
      <c r="E675" s="76">
        <f ca="1">IFERROR(__xludf.DUMMYFUNCTION("""COMPUTED_VALUE"""),280)</f>
        <v>280</v>
      </c>
      <c r="F675" s="77">
        <f ca="1">IFERROR(__xludf.DUMMYFUNCTION("""COMPUTED_VALUE"""),10020175)</f>
        <v>10020175</v>
      </c>
      <c r="G675" s="77" t="str">
        <f t="shared" ca="1" si="2"/>
        <v>si</v>
      </c>
    </row>
    <row r="676" spans="1:7" ht="12.75" x14ac:dyDescent="0.2">
      <c r="A676" s="62">
        <f ca="1">IFERROR(__xludf.DUMMYFUNCTION("""COMPUTED_VALUE"""),10020176)</f>
        <v>10020176</v>
      </c>
      <c r="B676" s="62" t="str">
        <f ca="1">IFERROR(__xludf.DUMMYFUNCTION("""COMPUTED_VALUE"""),"Bateria Samsung Tab A7 lite")</f>
        <v>Bateria Samsung Tab A7 lite</v>
      </c>
      <c r="C676" s="75">
        <f ca="1">IFERROR(__xludf.DUMMYFUNCTION("""COMPUTED_VALUE"""),130)</f>
        <v>130</v>
      </c>
      <c r="D676" s="75">
        <f ca="1">IFERROR(__xludf.DUMMYFUNCTION("""COMPUTED_VALUE"""),150)</f>
        <v>150</v>
      </c>
      <c r="E676" s="76">
        <f ca="1">IFERROR(__xludf.DUMMYFUNCTION("""COMPUTED_VALUE"""),280)</f>
        <v>280</v>
      </c>
      <c r="F676" s="77">
        <f ca="1">IFERROR(__xludf.DUMMYFUNCTION("""COMPUTED_VALUE"""),10020176)</f>
        <v>10020176</v>
      </c>
      <c r="G676" s="77" t="str">
        <f t="shared" ca="1" si="2"/>
        <v>si</v>
      </c>
    </row>
    <row r="677" spans="1:7" ht="12.75" x14ac:dyDescent="0.2">
      <c r="A677" s="62">
        <f ca="1">IFERROR(__xludf.DUMMYFUNCTION("""COMPUTED_VALUE"""),10020177)</f>
        <v>10020177</v>
      </c>
      <c r="B677" s="62" t="str">
        <f ca="1">IFERROR(__xludf.DUMMYFUNCTION("""COMPUTED_VALUE"""),"Bateria Samsung Tab E")</f>
        <v>Bateria Samsung Tab E</v>
      </c>
      <c r="C677" s="75">
        <f ca="1">IFERROR(__xludf.DUMMYFUNCTION("""COMPUTED_VALUE"""),150)</f>
        <v>150</v>
      </c>
      <c r="D677" s="75">
        <f ca="1">IFERROR(__xludf.DUMMYFUNCTION("""COMPUTED_VALUE"""),150)</f>
        <v>150</v>
      </c>
      <c r="E677" s="76">
        <f ca="1">IFERROR(__xludf.DUMMYFUNCTION("""COMPUTED_VALUE"""),300)</f>
        <v>300</v>
      </c>
      <c r="F677" s="77">
        <f ca="1">IFERROR(__xludf.DUMMYFUNCTION("""COMPUTED_VALUE"""),10020177)</f>
        <v>10020177</v>
      </c>
      <c r="G677" s="77" t="str">
        <f t="shared" ca="1" si="2"/>
        <v>si</v>
      </c>
    </row>
    <row r="678" spans="1:7" ht="12.75" x14ac:dyDescent="0.2">
      <c r="A678" s="62">
        <f ca="1">IFERROR(__xludf.DUMMYFUNCTION("""COMPUTED_VALUE"""),10020178)</f>
        <v>10020178</v>
      </c>
      <c r="B678" s="62" t="str">
        <f ca="1">IFERROR(__xludf.DUMMYFUNCTION("""COMPUTED_VALUE"""),"Bateria Samsung Galaxy Tab S2 LITE 9.7 3G")</f>
        <v>Bateria Samsung Galaxy Tab S2 LITE 9.7 3G</v>
      </c>
      <c r="C678" s="75">
        <f ca="1">IFERROR(__xludf.DUMMYFUNCTION("""COMPUTED_VALUE"""),210)</f>
        <v>210</v>
      </c>
      <c r="D678" s="75">
        <f ca="1">IFERROR(__xludf.DUMMYFUNCTION("""COMPUTED_VALUE"""),150)</f>
        <v>150</v>
      </c>
      <c r="E678" s="76">
        <f ca="1">IFERROR(__xludf.DUMMYFUNCTION("""COMPUTED_VALUE"""),360)</f>
        <v>360</v>
      </c>
      <c r="F678" s="77">
        <f ca="1">IFERROR(__xludf.DUMMYFUNCTION("""COMPUTED_VALUE"""),10020178)</f>
        <v>10020178</v>
      </c>
      <c r="G678" s="77" t="str">
        <f t="shared" ca="1" si="2"/>
        <v>si</v>
      </c>
    </row>
    <row r="679" spans="1:7" ht="12.75" x14ac:dyDescent="0.2">
      <c r="A679" s="62">
        <f ca="1">IFERROR(__xludf.DUMMYFUNCTION("""COMPUTED_VALUE"""),10020185)</f>
        <v>10020185</v>
      </c>
      <c r="B679" s="62" t="str">
        <f ca="1">IFERROR(__xludf.DUMMYFUNCTION("""COMPUTED_VALUE"""),"Baterias Celulares Samsung S7")</f>
        <v>Baterias Celulares Samsung S7</v>
      </c>
      <c r="C679" s="75">
        <f ca="1">IFERROR(__xludf.DUMMYFUNCTION("""COMPUTED_VALUE"""),70)</f>
        <v>70</v>
      </c>
      <c r="D679" s="75">
        <f ca="1">IFERROR(__xludf.DUMMYFUNCTION("""COMPUTED_VALUE"""),50)</f>
        <v>50</v>
      </c>
      <c r="E679" s="76">
        <f ca="1">IFERROR(__xludf.DUMMYFUNCTION("""COMPUTED_VALUE"""),120)</f>
        <v>120</v>
      </c>
      <c r="F679" s="77">
        <f ca="1">IFERROR(__xludf.DUMMYFUNCTION("""COMPUTED_VALUE"""),10020185)</f>
        <v>10020185</v>
      </c>
      <c r="G679" s="77" t="str">
        <f t="shared" ca="1" si="2"/>
        <v>si</v>
      </c>
    </row>
    <row r="680" spans="1:7" ht="12.75" x14ac:dyDescent="0.2">
      <c r="A680" s="62">
        <f ca="1">IFERROR(__xludf.DUMMYFUNCTION("""COMPUTED_VALUE"""),10020184)</f>
        <v>10020184</v>
      </c>
      <c r="B680" s="62" t="str">
        <f ca="1">IFERROR(__xludf.DUMMYFUNCTION("""COMPUTED_VALUE"""),"Baterias Celulares Samsung A52 5G")</f>
        <v>Baterias Celulares Samsung A52 5G</v>
      </c>
      <c r="C680" s="75">
        <f ca="1">IFERROR(__xludf.DUMMYFUNCTION("""COMPUTED_VALUE"""),140)</f>
        <v>140</v>
      </c>
      <c r="D680" s="75">
        <f ca="1">IFERROR(__xludf.DUMMYFUNCTION("""COMPUTED_VALUE"""),50)</f>
        <v>50</v>
      </c>
      <c r="E680" s="76">
        <f ca="1">IFERROR(__xludf.DUMMYFUNCTION("""COMPUTED_VALUE"""),190)</f>
        <v>190</v>
      </c>
      <c r="F680" s="77">
        <f ca="1">IFERROR(__xludf.DUMMYFUNCTION("""COMPUTED_VALUE"""),10020184)</f>
        <v>10020184</v>
      </c>
      <c r="G680" s="77" t="str">
        <f t="shared" ca="1" si="2"/>
        <v>si</v>
      </c>
    </row>
    <row r="681" spans="1:7" ht="12.75" x14ac:dyDescent="0.2">
      <c r="A681" s="62">
        <f ca="1">IFERROR(__xludf.DUMMYFUNCTION("""COMPUTED_VALUE"""),10020182)</f>
        <v>10020182</v>
      </c>
      <c r="B681" s="62" t="str">
        <f ca="1">IFERROR(__xludf.DUMMYFUNCTION("""COMPUTED_VALUE"""),"Baterias Celulares Samsung A72 5G")</f>
        <v>Baterias Celulares Samsung A72 5G</v>
      </c>
      <c r="C681" s="75">
        <f ca="1">IFERROR(__xludf.DUMMYFUNCTION("""COMPUTED_VALUE"""),140)</f>
        <v>140</v>
      </c>
      <c r="D681" s="75">
        <f ca="1">IFERROR(__xludf.DUMMYFUNCTION("""COMPUTED_VALUE"""),50)</f>
        <v>50</v>
      </c>
      <c r="E681" s="76">
        <f ca="1">IFERROR(__xludf.DUMMYFUNCTION("""COMPUTED_VALUE"""),190)</f>
        <v>190</v>
      </c>
      <c r="F681" s="77">
        <f ca="1">IFERROR(__xludf.DUMMYFUNCTION("""COMPUTED_VALUE"""),10020182)</f>
        <v>10020182</v>
      </c>
      <c r="G681" s="77" t="str">
        <f t="shared" ca="1" si="2"/>
        <v>si</v>
      </c>
    </row>
    <row r="682" spans="1:7" ht="12.75" x14ac:dyDescent="0.2">
      <c r="A682" s="62">
        <f ca="1">IFERROR(__xludf.DUMMYFUNCTION("""COMPUTED_VALUE"""),10020180)</f>
        <v>10020180</v>
      </c>
      <c r="B682" s="62" t="str">
        <f ca="1">IFERROR(__xludf.DUMMYFUNCTION("""COMPUTED_VALUE"""),"Baterias Celulares Samsung A32 5G")</f>
        <v>Baterias Celulares Samsung A32 5G</v>
      </c>
      <c r="C682" s="75">
        <f ca="1">IFERROR(__xludf.DUMMYFUNCTION("""COMPUTED_VALUE"""),140)</f>
        <v>140</v>
      </c>
      <c r="D682" s="75">
        <f ca="1">IFERROR(__xludf.DUMMYFUNCTION("""COMPUTED_VALUE"""),50)</f>
        <v>50</v>
      </c>
      <c r="E682" s="76">
        <f ca="1">IFERROR(__xludf.DUMMYFUNCTION("""COMPUTED_VALUE"""),190)</f>
        <v>190</v>
      </c>
      <c r="F682" s="77">
        <f ca="1">IFERROR(__xludf.DUMMYFUNCTION("""COMPUTED_VALUE"""),10020180)</f>
        <v>10020180</v>
      </c>
      <c r="G682" s="77" t="str">
        <f t="shared" ca="1" si="2"/>
        <v>si</v>
      </c>
    </row>
    <row r="683" spans="1:7" ht="12.75" x14ac:dyDescent="0.2">
      <c r="A683" s="62">
        <f ca="1">IFERROR(__xludf.DUMMYFUNCTION("""COMPUTED_VALUE"""),10020181)</f>
        <v>10020181</v>
      </c>
      <c r="B683" s="62" t="str">
        <f ca="1">IFERROR(__xludf.DUMMYFUNCTION("""COMPUTED_VALUE"""),"Baterias Celulares Samsung A72 4G")</f>
        <v>Baterias Celulares Samsung A72 4G</v>
      </c>
      <c r="C683" s="75">
        <f ca="1">IFERROR(__xludf.DUMMYFUNCTION("""COMPUTED_VALUE"""),140)</f>
        <v>140</v>
      </c>
      <c r="D683" s="75">
        <f ca="1">IFERROR(__xludf.DUMMYFUNCTION("""COMPUTED_VALUE"""),50)</f>
        <v>50</v>
      </c>
      <c r="E683" s="76">
        <f ca="1">IFERROR(__xludf.DUMMYFUNCTION("""COMPUTED_VALUE"""),190)</f>
        <v>190</v>
      </c>
      <c r="F683" s="77">
        <f ca="1">IFERROR(__xludf.DUMMYFUNCTION("""COMPUTED_VALUE"""),10020181)</f>
        <v>10020181</v>
      </c>
      <c r="G683" s="77" t="str">
        <f t="shared" ca="1" si="2"/>
        <v>si</v>
      </c>
    </row>
    <row r="684" spans="1:7" ht="12.75" x14ac:dyDescent="0.2">
      <c r="A684" s="62">
        <f ca="1">IFERROR(__xludf.DUMMYFUNCTION("""COMPUTED_VALUE"""),10020136)</f>
        <v>10020136</v>
      </c>
      <c r="B684" s="62" t="str">
        <f ca="1">IFERROR(__xludf.DUMMYFUNCTION("""COMPUTED_VALUE"""),"Baterias Celulares Huawei P30 Pro / Mate 20 Pro")</f>
        <v>Baterias Celulares Huawei P30 Pro / Mate 20 Pro</v>
      </c>
      <c r="C684" s="75">
        <f ca="1">IFERROR(__xludf.DUMMYFUNCTION("""COMPUTED_VALUE"""),120)</f>
        <v>120</v>
      </c>
      <c r="D684" s="75">
        <f ca="1">IFERROR(__xludf.DUMMYFUNCTION("""COMPUTED_VALUE"""),30)</f>
        <v>30</v>
      </c>
      <c r="E684" s="76">
        <f ca="1">IFERROR(__xludf.DUMMYFUNCTION("""COMPUTED_VALUE"""),150)</f>
        <v>150</v>
      </c>
      <c r="F684" s="77">
        <f ca="1">IFERROR(__xludf.DUMMYFUNCTION("""COMPUTED_VALUE"""),10020136)</f>
        <v>10020136</v>
      </c>
      <c r="G684" s="77" t="str">
        <f t="shared" ca="1" si="2"/>
        <v>si</v>
      </c>
    </row>
    <row r="685" spans="1:7" ht="12.75" x14ac:dyDescent="0.2">
      <c r="A685" s="62">
        <f ca="1">IFERROR(__xludf.DUMMYFUNCTION("""COMPUTED_VALUE"""),10020022)</f>
        <v>10020022</v>
      </c>
      <c r="B685" s="62" t="str">
        <f ca="1">IFERROR(__xludf.DUMMYFUNCTION("""COMPUTED_VALUE"""),"Baterias Celulares Huawei Mate 7 Con Logo")</f>
        <v>Baterias Celulares Huawei Mate 7 Con Logo</v>
      </c>
      <c r="C685" s="75">
        <f ca="1">IFERROR(__xludf.DUMMYFUNCTION("""COMPUTED_VALUE"""),50)</f>
        <v>50</v>
      </c>
      <c r="D685" s="75">
        <f ca="1">IFERROR(__xludf.DUMMYFUNCTION("""COMPUTED_VALUE"""),30)</f>
        <v>30</v>
      </c>
      <c r="E685" s="76">
        <f ca="1">IFERROR(__xludf.DUMMYFUNCTION("""COMPUTED_VALUE"""),80)</f>
        <v>80</v>
      </c>
      <c r="F685" s="77">
        <f ca="1">IFERROR(__xludf.DUMMYFUNCTION("""COMPUTED_VALUE"""),10020022)</f>
        <v>10020022</v>
      </c>
      <c r="G685" s="77" t="str">
        <f t="shared" ca="1" si="2"/>
        <v>si</v>
      </c>
    </row>
    <row r="686" spans="1:7" ht="12.75" x14ac:dyDescent="0.2">
      <c r="A686" s="62">
        <f ca="1">IFERROR(__xludf.DUMMYFUNCTION("""COMPUTED_VALUE"""),10020023)</f>
        <v>10020023</v>
      </c>
      <c r="B686" s="62" t="str">
        <f ca="1">IFERROR(__xludf.DUMMYFUNCTION("""COMPUTED_VALUE"""),"Baterias Celulares Huawei Mate 9 / Y7 2017 sin logo")</f>
        <v>Baterias Celulares Huawei Mate 9 / Y7 2017 sin logo</v>
      </c>
      <c r="C686" s="75">
        <f ca="1">IFERROR(__xludf.DUMMYFUNCTION("""COMPUTED_VALUE"""),50)</f>
        <v>50</v>
      </c>
      <c r="D686" s="75">
        <f ca="1">IFERROR(__xludf.DUMMYFUNCTION("""COMPUTED_VALUE"""),30)</f>
        <v>30</v>
      </c>
      <c r="E686" s="76">
        <f ca="1">IFERROR(__xludf.DUMMYFUNCTION("""COMPUTED_VALUE"""),80)</f>
        <v>80</v>
      </c>
      <c r="F686" s="77">
        <f ca="1">IFERROR(__xludf.DUMMYFUNCTION("""COMPUTED_VALUE"""),10020023)</f>
        <v>10020023</v>
      </c>
      <c r="G686" s="77" t="str">
        <f t="shared" ca="1" si="2"/>
        <v>si</v>
      </c>
    </row>
    <row r="687" spans="1:7" ht="12.75" x14ac:dyDescent="0.2">
      <c r="A687" s="62">
        <f ca="1">IFERROR(__xludf.DUMMYFUNCTION("""COMPUTED_VALUE"""),10020020)</f>
        <v>10020020</v>
      </c>
      <c r="B687" s="62" t="str">
        <f ca="1">IFERROR(__xludf.DUMMYFUNCTION("""COMPUTED_VALUE"""),"Pantalla LG Styllus 4 Original")</f>
        <v>Pantalla LG Styllus 4 Original</v>
      </c>
      <c r="C687" s="75">
        <f ca="1">IFERROR(__xludf.DUMMYFUNCTION("""COMPUTED_VALUE"""),120)</f>
        <v>120</v>
      </c>
      <c r="D687" s="75">
        <f ca="1">IFERROR(__xludf.DUMMYFUNCTION("""COMPUTED_VALUE"""),50)</f>
        <v>50</v>
      </c>
      <c r="E687" s="76">
        <f ca="1">IFERROR(__xludf.DUMMYFUNCTION("""COMPUTED_VALUE"""),170)</f>
        <v>170</v>
      </c>
      <c r="F687" s="77">
        <f ca="1">IFERROR(__xludf.DUMMYFUNCTION("""COMPUTED_VALUE"""),10020020)</f>
        <v>10020020</v>
      </c>
      <c r="G687" s="77" t="str">
        <f t="shared" ca="1" si="2"/>
        <v>si</v>
      </c>
    </row>
    <row r="688" spans="1:7" ht="12.75" x14ac:dyDescent="0.2">
      <c r="A688" s="62">
        <f ca="1">IFERROR(__xludf.DUMMYFUNCTION("""COMPUTED_VALUE"""),10020021)</f>
        <v>10020021</v>
      </c>
      <c r="B688" s="62" t="str">
        <f ca="1">IFERROR(__xludf.DUMMYFUNCTION("""COMPUTED_VALUE"""),"Baterias Celulares Huawei Mate 10/20    P20 Pro   sin logo")</f>
        <v>Baterias Celulares Huawei Mate 10/20    P20 Pro   sin logo</v>
      </c>
      <c r="C688" s="75">
        <f ca="1">IFERROR(__xludf.DUMMYFUNCTION("""COMPUTED_VALUE"""),70)</f>
        <v>70</v>
      </c>
      <c r="D688" s="75">
        <f ca="1">IFERROR(__xludf.DUMMYFUNCTION("""COMPUTED_VALUE"""),30)</f>
        <v>30</v>
      </c>
      <c r="E688" s="76">
        <f ca="1">IFERROR(__xludf.DUMMYFUNCTION("""COMPUTED_VALUE"""),100)</f>
        <v>100</v>
      </c>
      <c r="F688" s="77">
        <f ca="1">IFERROR(__xludf.DUMMYFUNCTION("""COMPUTED_VALUE"""),10020021)</f>
        <v>10020021</v>
      </c>
      <c r="G688" s="77" t="str">
        <f t="shared" ca="1" si="2"/>
        <v>si</v>
      </c>
    </row>
    <row r="689" spans="1:7" ht="12.75" x14ac:dyDescent="0.2">
      <c r="A689" s="62">
        <f ca="1">IFERROR(__xludf.DUMMYFUNCTION("""COMPUTED_VALUE"""),10020106)</f>
        <v>10020106</v>
      </c>
      <c r="B689" s="62" t="str">
        <f ca="1">IFERROR(__xludf.DUMMYFUNCTION("""COMPUTED_VALUE"""),"Baterias Huawei Mate 10 Lite /P30 lite sin Logo")</f>
        <v>Baterias Huawei Mate 10 Lite /P30 lite sin Logo</v>
      </c>
      <c r="C689" s="75">
        <f ca="1">IFERROR(__xludf.DUMMYFUNCTION("""COMPUTED_VALUE"""),50)</f>
        <v>50</v>
      </c>
      <c r="D689" s="75">
        <f ca="1">IFERROR(__xludf.DUMMYFUNCTION("""COMPUTED_VALUE"""),30)</f>
        <v>30</v>
      </c>
      <c r="E689" s="76">
        <f ca="1">IFERROR(__xludf.DUMMYFUNCTION("""COMPUTED_VALUE"""),80)</f>
        <v>80</v>
      </c>
      <c r="F689" s="77">
        <f ca="1">IFERROR(__xludf.DUMMYFUNCTION("""COMPUTED_VALUE"""),10020106)</f>
        <v>10020106</v>
      </c>
      <c r="G689" s="77" t="str">
        <f t="shared" ca="1" si="2"/>
        <v>si</v>
      </c>
    </row>
    <row r="690" spans="1:7" ht="12.75" x14ac:dyDescent="0.2">
      <c r="A690" s="62">
        <f ca="1">IFERROR(__xludf.DUMMYFUNCTION("""COMPUTED_VALUE"""),10020107)</f>
        <v>10020107</v>
      </c>
      <c r="B690" s="62" t="str">
        <f ca="1">IFERROR(__xludf.DUMMYFUNCTION("""COMPUTED_VALUE"""),"Baterias Huawei Y6 II , G8 , GR5 , HONOR 5A , HONOR 5X  Sin Logo  G8 -5X   HB396481EBC")</f>
        <v>Baterias Huawei Y6 II , G8 , GR5 , HONOR 5A , HONOR 5X  Sin Logo  G8 -5X   HB396481EBC</v>
      </c>
      <c r="C690" s="75">
        <f ca="1">IFERROR(__xludf.DUMMYFUNCTION("""COMPUTED_VALUE"""),50)</f>
        <v>50</v>
      </c>
      <c r="D690" s="75">
        <f ca="1">IFERROR(__xludf.DUMMYFUNCTION("""COMPUTED_VALUE"""),30)</f>
        <v>30</v>
      </c>
      <c r="E690" s="76">
        <f ca="1">IFERROR(__xludf.DUMMYFUNCTION("""COMPUTED_VALUE"""),80)</f>
        <v>80</v>
      </c>
      <c r="F690" s="77">
        <f ca="1">IFERROR(__xludf.DUMMYFUNCTION("""COMPUTED_VALUE"""),10020107)</f>
        <v>10020107</v>
      </c>
      <c r="G690" s="77" t="str">
        <f t="shared" ca="1" si="2"/>
        <v>si</v>
      </c>
    </row>
    <row r="691" spans="1:7" ht="12.75" x14ac:dyDescent="0.2">
      <c r="A691" s="62">
        <f ca="1">IFERROR(__xludf.DUMMYFUNCTION("""COMPUTED_VALUE"""),10020032)</f>
        <v>10020032</v>
      </c>
      <c r="B691" s="62" t="str">
        <f ca="1">IFERROR(__xludf.DUMMYFUNCTION("""COMPUTED_VALUE"""),"Baterias Celulares Huawei Y7 2018 Sin Logo")</f>
        <v>Baterias Celulares Huawei Y7 2018 Sin Logo</v>
      </c>
      <c r="C691" s="75">
        <f ca="1">IFERROR(__xludf.DUMMYFUNCTION("""COMPUTED_VALUE"""),50)</f>
        <v>50</v>
      </c>
      <c r="D691" s="75">
        <f ca="1">IFERROR(__xludf.DUMMYFUNCTION("""COMPUTED_VALUE"""),30)</f>
        <v>30</v>
      </c>
      <c r="E691" s="76">
        <f ca="1">IFERROR(__xludf.DUMMYFUNCTION("""COMPUTED_VALUE"""),80)</f>
        <v>80</v>
      </c>
      <c r="F691" s="77">
        <f ca="1">IFERROR(__xludf.DUMMYFUNCTION("""COMPUTED_VALUE"""),10020032)</f>
        <v>10020032</v>
      </c>
      <c r="G691" s="77" t="str">
        <f t="shared" ca="1" si="2"/>
        <v>si</v>
      </c>
    </row>
    <row r="692" spans="1:7" ht="12.75" x14ac:dyDescent="0.2">
      <c r="A692" s="62">
        <f ca="1">IFERROR(__xludf.DUMMYFUNCTION("""COMPUTED_VALUE"""),10020027)</f>
        <v>10020027</v>
      </c>
      <c r="B692" s="62"/>
      <c r="C692" s="62"/>
      <c r="D692" s="62"/>
      <c r="E692" s="57"/>
      <c r="F692" s="77">
        <f ca="1">IFERROR(__xludf.DUMMYFUNCTION("""COMPUTED_VALUE"""),10020027)</f>
        <v>10020027</v>
      </c>
      <c r="G692" s="77" t="str">
        <f t="shared" ca="1" si="2"/>
        <v>si</v>
      </c>
    </row>
    <row r="693" spans="1:7" ht="12.75" x14ac:dyDescent="0.2">
      <c r="A693" s="62">
        <f ca="1">IFERROR(__xludf.DUMMYFUNCTION("""COMPUTED_VALUE"""),10020028)</f>
        <v>10020028</v>
      </c>
      <c r="B693" s="62"/>
      <c r="C693" s="62"/>
      <c r="D693" s="62"/>
      <c r="E693" s="57"/>
      <c r="F693" s="77">
        <f ca="1">IFERROR(__xludf.DUMMYFUNCTION("""COMPUTED_VALUE"""),10020028)</f>
        <v>10020028</v>
      </c>
      <c r="G693" s="77" t="str">
        <f t="shared" ca="1" si="2"/>
        <v>si</v>
      </c>
    </row>
    <row r="694" spans="1:7" ht="12.75" x14ac:dyDescent="0.2">
      <c r="A694" s="62">
        <f ca="1">IFERROR(__xludf.DUMMYFUNCTION("""COMPUTED_VALUE"""),10020019)</f>
        <v>10020019</v>
      </c>
      <c r="B694" s="62" t="str">
        <f ca="1">IFERROR(__xludf.DUMMYFUNCTION("""COMPUTED_VALUE"""),"Baterias Celulares  P10 Plus, Mate 20 lite, Honor 8x, Nova 5t, Honor 20    HB386589ECW")</f>
        <v>Baterias Celulares  P10 Plus, Mate 20 lite, Honor 8x, Nova 5t, Honor 20    HB386589ECW</v>
      </c>
      <c r="C694" s="75">
        <f ca="1">IFERROR(__xludf.DUMMYFUNCTION("""COMPUTED_VALUE"""),50)</f>
        <v>50</v>
      </c>
      <c r="D694" s="75">
        <f ca="1">IFERROR(__xludf.DUMMYFUNCTION("""COMPUTED_VALUE"""),30)</f>
        <v>30</v>
      </c>
      <c r="E694" s="76">
        <f ca="1">IFERROR(__xludf.DUMMYFUNCTION("""COMPUTED_VALUE"""),80)</f>
        <v>80</v>
      </c>
      <c r="F694" s="77">
        <f ca="1">IFERROR(__xludf.DUMMYFUNCTION("""COMPUTED_VALUE"""),10020019)</f>
        <v>10020019</v>
      </c>
      <c r="G694" s="77" t="str">
        <f t="shared" ca="1" si="2"/>
        <v>si</v>
      </c>
    </row>
    <row r="695" spans="1:7" ht="12.75" x14ac:dyDescent="0.2">
      <c r="A695" s="62">
        <f ca="1">IFERROR(__xludf.DUMMYFUNCTION("""COMPUTED_VALUE"""),10020029)</f>
        <v>10020029</v>
      </c>
      <c r="B695" s="62" t="str">
        <f ca="1">IFERROR(__xludf.DUMMYFUNCTION("""COMPUTED_VALUE"""),"Baterias P9 Lite, P9, P10 lite, P8 lite 2017, p20 lite  Sin Logo")</f>
        <v>Baterias P9 Lite, P9, P10 lite, P8 lite 2017, p20 lite  Sin Logo</v>
      </c>
      <c r="C695" s="75">
        <f ca="1">IFERROR(__xludf.DUMMYFUNCTION("""COMPUTED_VALUE"""),50)</f>
        <v>50</v>
      </c>
      <c r="D695" s="75">
        <f ca="1">IFERROR(__xludf.DUMMYFUNCTION("""COMPUTED_VALUE"""),30)</f>
        <v>30</v>
      </c>
      <c r="E695" s="76">
        <f ca="1">IFERROR(__xludf.DUMMYFUNCTION("""COMPUTED_VALUE"""),80)</f>
        <v>80</v>
      </c>
      <c r="F695" s="77">
        <f ca="1">IFERROR(__xludf.DUMMYFUNCTION("""COMPUTED_VALUE"""),10020029)</f>
        <v>10020029</v>
      </c>
      <c r="G695" s="77" t="str">
        <f t="shared" ca="1" si="2"/>
        <v>si</v>
      </c>
    </row>
    <row r="696" spans="1:7" ht="12.75" x14ac:dyDescent="0.2">
      <c r="A696" s="62">
        <f ca="1">IFERROR(__xludf.DUMMYFUNCTION("""COMPUTED_VALUE"""),10020108)</f>
        <v>10020108</v>
      </c>
      <c r="B696" s="62"/>
      <c r="C696" s="62"/>
      <c r="D696" s="62"/>
      <c r="E696" s="57"/>
      <c r="F696" s="77">
        <f ca="1">IFERROR(__xludf.DUMMYFUNCTION("""COMPUTED_VALUE"""),10020108)</f>
        <v>10020108</v>
      </c>
      <c r="G696" s="77" t="str">
        <f t="shared" ca="1" si="2"/>
        <v>si</v>
      </c>
    </row>
    <row r="697" spans="1:7" ht="12.75" x14ac:dyDescent="0.2">
      <c r="A697" s="62">
        <f ca="1">IFERROR(__xludf.DUMMYFUNCTION("""COMPUTED_VALUE"""),10020047)</f>
        <v>10020047</v>
      </c>
      <c r="B697" s="62" t="str">
        <f ca="1">IFERROR(__xludf.DUMMYFUNCTION("""COMPUTED_VALUE"""),"Baterias Celulares LG G6 Con Logo")</f>
        <v>Baterias Celulares LG G6 Con Logo</v>
      </c>
      <c r="C697" s="75">
        <f ca="1">IFERROR(__xludf.DUMMYFUNCTION("""COMPUTED_VALUE"""),50)</f>
        <v>50</v>
      </c>
      <c r="D697" s="75">
        <f ca="1">IFERROR(__xludf.DUMMYFUNCTION("""COMPUTED_VALUE"""),30)</f>
        <v>30</v>
      </c>
      <c r="E697" s="76">
        <f ca="1">IFERROR(__xludf.DUMMYFUNCTION("""COMPUTED_VALUE"""),80)</f>
        <v>80</v>
      </c>
      <c r="F697" s="77">
        <f ca="1">IFERROR(__xludf.DUMMYFUNCTION("""COMPUTED_VALUE"""),10020047)</f>
        <v>10020047</v>
      </c>
      <c r="G697" s="77" t="str">
        <f t="shared" ca="1" si="2"/>
        <v>si</v>
      </c>
    </row>
    <row r="698" spans="1:7" ht="12.75" x14ac:dyDescent="0.2">
      <c r="A698" s="62">
        <f ca="1">IFERROR(__xludf.DUMMYFUNCTION("""COMPUTED_VALUE"""),10020049)</f>
        <v>10020049</v>
      </c>
      <c r="B698" s="62" t="str">
        <f ca="1">IFERROR(__xludf.DUMMYFUNCTION("""COMPUTED_VALUE"""),"Baterias Celulares Motorolla G4 Sin Logo")</f>
        <v>Baterias Celulares Motorolla G4 Sin Logo</v>
      </c>
      <c r="C698" s="75">
        <f ca="1">IFERROR(__xludf.DUMMYFUNCTION("""COMPUTED_VALUE"""),50)</f>
        <v>50</v>
      </c>
      <c r="D698" s="75">
        <f ca="1">IFERROR(__xludf.DUMMYFUNCTION("""COMPUTED_VALUE"""),30)</f>
        <v>30</v>
      </c>
      <c r="E698" s="76">
        <f ca="1">IFERROR(__xludf.DUMMYFUNCTION("""COMPUTED_VALUE"""),80)</f>
        <v>80</v>
      </c>
      <c r="F698" s="77">
        <f ca="1">IFERROR(__xludf.DUMMYFUNCTION("""COMPUTED_VALUE"""),10020049)</f>
        <v>10020049</v>
      </c>
      <c r="G698" s="77" t="str">
        <f t="shared" ca="1" si="2"/>
        <v>si</v>
      </c>
    </row>
    <row r="699" spans="1:7" ht="12.75" x14ac:dyDescent="0.2">
      <c r="A699" s="62">
        <f ca="1">IFERROR(__xludf.DUMMYFUNCTION("""COMPUTED_VALUE"""),10020048)</f>
        <v>10020048</v>
      </c>
      <c r="B699" s="62" t="str">
        <f ca="1">IFERROR(__xludf.DUMMYFUNCTION("""COMPUTED_VALUE"""),"Baterias Celulares Motorolla G4 Plus Sin Logo")</f>
        <v>Baterias Celulares Motorolla G4 Plus Sin Logo</v>
      </c>
      <c r="C699" s="75">
        <f ca="1">IFERROR(__xludf.DUMMYFUNCTION("""COMPUTED_VALUE"""),50)</f>
        <v>50</v>
      </c>
      <c r="D699" s="75">
        <f ca="1">IFERROR(__xludf.DUMMYFUNCTION("""COMPUTED_VALUE"""),30)</f>
        <v>30</v>
      </c>
      <c r="E699" s="76">
        <f ca="1">IFERROR(__xludf.DUMMYFUNCTION("""COMPUTED_VALUE"""),80)</f>
        <v>80</v>
      </c>
      <c r="F699" s="77">
        <f ca="1">IFERROR(__xludf.DUMMYFUNCTION("""COMPUTED_VALUE"""),10020048)</f>
        <v>10020048</v>
      </c>
      <c r="G699" s="77" t="str">
        <f t="shared" ca="1" si="2"/>
        <v>si</v>
      </c>
    </row>
    <row r="700" spans="1:7" ht="12.75" x14ac:dyDescent="0.2">
      <c r="A700" s="62">
        <f ca="1">IFERROR(__xludf.DUMMYFUNCTION("""COMPUTED_VALUE"""),10020051)</f>
        <v>10020051</v>
      </c>
      <c r="B700" s="62" t="str">
        <f ca="1">IFERROR(__xludf.DUMMYFUNCTION("""COMPUTED_VALUE"""),"Baterias Celulares Motorolla G5 Sin Logo")</f>
        <v>Baterias Celulares Motorolla G5 Sin Logo</v>
      </c>
      <c r="C700" s="75">
        <f ca="1">IFERROR(__xludf.DUMMYFUNCTION("""COMPUTED_VALUE"""),50)</f>
        <v>50</v>
      </c>
      <c r="D700" s="75">
        <f ca="1">IFERROR(__xludf.DUMMYFUNCTION("""COMPUTED_VALUE"""),30)</f>
        <v>30</v>
      </c>
      <c r="E700" s="76">
        <f ca="1">IFERROR(__xludf.DUMMYFUNCTION("""COMPUTED_VALUE"""),80)</f>
        <v>80</v>
      </c>
      <c r="F700" s="77">
        <f ca="1">IFERROR(__xludf.DUMMYFUNCTION("""COMPUTED_VALUE"""),10020051)</f>
        <v>10020051</v>
      </c>
      <c r="G700" s="77" t="str">
        <f t="shared" ca="1" si="2"/>
        <v>si</v>
      </c>
    </row>
    <row r="701" spans="1:7" ht="12.75" x14ac:dyDescent="0.2">
      <c r="A701" s="62">
        <f ca="1">IFERROR(__xludf.DUMMYFUNCTION("""COMPUTED_VALUE"""),10020050)</f>
        <v>10020050</v>
      </c>
      <c r="B701" s="62" t="str">
        <f ca="1">IFERROR(__xludf.DUMMYFUNCTION("""COMPUTED_VALUE"""),"Baterias Celulares Motorolla G5 Plus Sin Logo")</f>
        <v>Baterias Celulares Motorolla G5 Plus Sin Logo</v>
      </c>
      <c r="C701" s="75">
        <f ca="1">IFERROR(__xludf.DUMMYFUNCTION("""COMPUTED_VALUE"""),50)</f>
        <v>50</v>
      </c>
      <c r="D701" s="75">
        <f ca="1">IFERROR(__xludf.DUMMYFUNCTION("""COMPUTED_VALUE"""),30)</f>
        <v>30</v>
      </c>
      <c r="E701" s="76">
        <f ca="1">IFERROR(__xludf.DUMMYFUNCTION("""COMPUTED_VALUE"""),80)</f>
        <v>80</v>
      </c>
      <c r="F701" s="77">
        <f ca="1">IFERROR(__xludf.DUMMYFUNCTION("""COMPUTED_VALUE"""),10020050)</f>
        <v>10020050</v>
      </c>
      <c r="G701" s="77" t="str">
        <f t="shared" ca="1" si="2"/>
        <v>si</v>
      </c>
    </row>
    <row r="702" spans="1:7" ht="12.75" x14ac:dyDescent="0.2">
      <c r="A702" s="62">
        <f ca="1">IFERROR(__xludf.DUMMYFUNCTION("""COMPUTED_VALUE"""),10020054)</f>
        <v>10020054</v>
      </c>
      <c r="B702" s="62" t="str">
        <f ca="1">IFERROR(__xludf.DUMMYFUNCTION("""COMPUTED_VALUE"""),"Baterias Celulares Motorolla G6 Sin Logo")</f>
        <v>Baterias Celulares Motorolla G6 Sin Logo</v>
      </c>
      <c r="C702" s="75">
        <f ca="1">IFERROR(__xludf.DUMMYFUNCTION("""COMPUTED_VALUE"""),50)</f>
        <v>50</v>
      </c>
      <c r="D702" s="75">
        <f ca="1">IFERROR(__xludf.DUMMYFUNCTION("""COMPUTED_VALUE"""),30)</f>
        <v>30</v>
      </c>
      <c r="E702" s="76">
        <f ca="1">IFERROR(__xludf.DUMMYFUNCTION("""COMPUTED_VALUE"""),80)</f>
        <v>80</v>
      </c>
      <c r="F702" s="77">
        <f ca="1">IFERROR(__xludf.DUMMYFUNCTION("""COMPUTED_VALUE"""),10020054)</f>
        <v>10020054</v>
      </c>
      <c r="G702" s="77" t="str">
        <f t="shared" ca="1" si="2"/>
        <v>si</v>
      </c>
    </row>
    <row r="703" spans="1:7" ht="12.75" x14ac:dyDescent="0.2">
      <c r="A703" s="62">
        <f ca="1">IFERROR(__xludf.DUMMYFUNCTION("""COMPUTED_VALUE"""),10020053)</f>
        <v>10020053</v>
      </c>
      <c r="B703" s="62" t="str">
        <f ca="1">IFERROR(__xludf.DUMMYFUNCTION("""COMPUTED_VALUE"""),"Baterias Celulares Motorolla G6 Plus Sin Logo")</f>
        <v>Baterias Celulares Motorolla G6 Plus Sin Logo</v>
      </c>
      <c r="C703" s="75">
        <f ca="1">IFERROR(__xludf.DUMMYFUNCTION("""COMPUTED_VALUE"""),50)</f>
        <v>50</v>
      </c>
      <c r="D703" s="75">
        <f ca="1">IFERROR(__xludf.DUMMYFUNCTION("""COMPUTED_VALUE"""),30)</f>
        <v>30</v>
      </c>
      <c r="E703" s="76">
        <f ca="1">IFERROR(__xludf.DUMMYFUNCTION("""COMPUTED_VALUE"""),80)</f>
        <v>80</v>
      </c>
      <c r="F703" s="77">
        <f ca="1">IFERROR(__xludf.DUMMYFUNCTION("""COMPUTED_VALUE"""),10020053)</f>
        <v>10020053</v>
      </c>
      <c r="G703" s="77" t="str">
        <f t="shared" ca="1" si="2"/>
        <v>si</v>
      </c>
    </row>
    <row r="704" spans="1:7" ht="12.75" x14ac:dyDescent="0.2">
      <c r="A704" s="62">
        <f ca="1">IFERROR(__xludf.DUMMYFUNCTION("""COMPUTED_VALUE"""),10020052)</f>
        <v>10020052</v>
      </c>
      <c r="B704" s="62" t="str">
        <f ca="1">IFERROR(__xludf.DUMMYFUNCTION("""COMPUTED_VALUE"""),"Baterias Celulares Motorolla G6 Play Sin Logo")</f>
        <v>Baterias Celulares Motorolla G6 Play Sin Logo</v>
      </c>
      <c r="C704" s="75">
        <f ca="1">IFERROR(__xludf.DUMMYFUNCTION("""COMPUTED_VALUE"""),50)</f>
        <v>50</v>
      </c>
      <c r="D704" s="75">
        <f ca="1">IFERROR(__xludf.DUMMYFUNCTION("""COMPUTED_VALUE"""),30)</f>
        <v>30</v>
      </c>
      <c r="E704" s="76">
        <f ca="1">IFERROR(__xludf.DUMMYFUNCTION("""COMPUTED_VALUE"""),80)</f>
        <v>80</v>
      </c>
      <c r="F704" s="77">
        <f ca="1">IFERROR(__xludf.DUMMYFUNCTION("""COMPUTED_VALUE"""),10020052)</f>
        <v>10020052</v>
      </c>
      <c r="G704" s="77" t="str">
        <f t="shared" ca="1" si="2"/>
        <v>si</v>
      </c>
    </row>
    <row r="705" spans="1:7" ht="12.75" x14ac:dyDescent="0.2">
      <c r="A705" s="62">
        <f ca="1">IFERROR(__xludf.DUMMYFUNCTION("""COMPUTED_VALUE"""),10020055)</f>
        <v>10020055</v>
      </c>
      <c r="B705" s="62" t="str">
        <f ca="1">IFERROR(__xludf.DUMMYFUNCTION("""COMPUTED_VALUE"""),"Baterias Celulares Motorolla Z 2Play Sin Logo")</f>
        <v>Baterias Celulares Motorolla Z 2Play Sin Logo</v>
      </c>
      <c r="C705" s="75">
        <f ca="1">IFERROR(__xludf.DUMMYFUNCTION("""COMPUTED_VALUE"""),50)</f>
        <v>50</v>
      </c>
      <c r="D705" s="75">
        <f ca="1">IFERROR(__xludf.DUMMYFUNCTION("""COMPUTED_VALUE"""),30)</f>
        <v>30</v>
      </c>
      <c r="E705" s="76">
        <f ca="1">IFERROR(__xludf.DUMMYFUNCTION("""COMPUTED_VALUE"""),80)</f>
        <v>80</v>
      </c>
      <c r="F705" s="77">
        <f ca="1">IFERROR(__xludf.DUMMYFUNCTION("""COMPUTED_VALUE"""),10020055)</f>
        <v>10020055</v>
      </c>
      <c r="G705" s="77" t="str">
        <f t="shared" ca="1" si="2"/>
        <v>si</v>
      </c>
    </row>
    <row r="706" spans="1:7" ht="12.75" x14ac:dyDescent="0.2">
      <c r="A706" s="62">
        <f ca="1">IFERROR(__xludf.DUMMYFUNCTION("""COMPUTED_VALUE"""),10020093)</f>
        <v>10020093</v>
      </c>
      <c r="B706" s="62" t="str">
        <f ca="1">IFERROR(__xludf.DUMMYFUNCTION("""COMPUTED_VALUE"""),"Baterias Celulares Sony XZ1 Con Logo")</f>
        <v>Baterias Celulares Sony XZ1 Con Logo</v>
      </c>
      <c r="C706" s="75">
        <f ca="1">IFERROR(__xludf.DUMMYFUNCTION("""COMPUTED_VALUE"""),50)</f>
        <v>50</v>
      </c>
      <c r="D706" s="75">
        <f ca="1">IFERROR(__xludf.DUMMYFUNCTION("""COMPUTED_VALUE"""),30)</f>
        <v>30</v>
      </c>
      <c r="E706" s="76">
        <f ca="1">IFERROR(__xludf.DUMMYFUNCTION("""COMPUTED_VALUE"""),80)</f>
        <v>80</v>
      </c>
      <c r="F706" s="77">
        <f ca="1">IFERROR(__xludf.DUMMYFUNCTION("""COMPUTED_VALUE"""),10020093)</f>
        <v>10020093</v>
      </c>
      <c r="G706" s="77" t="str">
        <f t="shared" ca="1" si="2"/>
        <v>si</v>
      </c>
    </row>
    <row r="707" spans="1:7" ht="12.75" x14ac:dyDescent="0.2">
      <c r="A707" s="62">
        <f ca="1">IFERROR(__xludf.DUMMYFUNCTION("""COMPUTED_VALUE"""),10020092)</f>
        <v>10020092</v>
      </c>
      <c r="B707" s="62" t="str">
        <f ca="1">IFERROR(__xludf.DUMMYFUNCTION("""COMPUTED_VALUE"""),"Baterias Celulares Sony XA1 Con Logo")</f>
        <v>Baterias Celulares Sony XA1 Con Logo</v>
      </c>
      <c r="C707" s="75">
        <f ca="1">IFERROR(__xludf.DUMMYFUNCTION("""COMPUTED_VALUE"""),50)</f>
        <v>50</v>
      </c>
      <c r="D707" s="75">
        <f ca="1">IFERROR(__xludf.DUMMYFUNCTION("""COMPUTED_VALUE"""),30)</f>
        <v>30</v>
      </c>
      <c r="E707" s="76">
        <f ca="1">IFERROR(__xludf.DUMMYFUNCTION("""COMPUTED_VALUE"""),80)</f>
        <v>80</v>
      </c>
      <c r="F707" s="77">
        <f ca="1">IFERROR(__xludf.DUMMYFUNCTION("""COMPUTED_VALUE"""),10020092)</f>
        <v>10020092</v>
      </c>
      <c r="G707" s="77" t="str">
        <f t="shared" ca="1" si="2"/>
        <v>si</v>
      </c>
    </row>
    <row r="708" spans="1:7" ht="12.75" x14ac:dyDescent="0.2">
      <c r="A708" s="62">
        <f ca="1">IFERROR(__xludf.DUMMYFUNCTION("""COMPUTED_VALUE"""),10020105)</f>
        <v>10020105</v>
      </c>
      <c r="B708" s="62" t="str">
        <f ca="1">IFERROR(__xludf.DUMMYFUNCTION("""COMPUTED_VALUE"""),"Baterias Celulares Xiaomi PocoPhone Sin Logo")</f>
        <v>Baterias Celulares Xiaomi PocoPhone Sin Logo</v>
      </c>
      <c r="C708" s="75">
        <f ca="1">IFERROR(__xludf.DUMMYFUNCTION("""COMPUTED_VALUE"""),50)</f>
        <v>50</v>
      </c>
      <c r="D708" s="75">
        <f ca="1">IFERROR(__xludf.DUMMYFUNCTION("""COMPUTED_VALUE"""),30)</f>
        <v>30</v>
      </c>
      <c r="E708" s="76">
        <f ca="1">IFERROR(__xludf.DUMMYFUNCTION("""COMPUTED_VALUE"""),80)</f>
        <v>80</v>
      </c>
      <c r="F708" s="77">
        <f ca="1">IFERROR(__xludf.DUMMYFUNCTION("""COMPUTED_VALUE"""),10020105)</f>
        <v>10020105</v>
      </c>
      <c r="G708" s="77" t="str">
        <f t="shared" ca="1" si="2"/>
        <v>si</v>
      </c>
    </row>
    <row r="709" spans="1:7" ht="12.75" x14ac:dyDescent="0.2">
      <c r="A709" s="62">
        <f ca="1">IFERROR(__xludf.DUMMYFUNCTION("""COMPUTED_VALUE"""),10020098)</f>
        <v>10020098</v>
      </c>
      <c r="B709" s="62" t="str">
        <f ca="1">IFERROR(__xludf.DUMMYFUNCTION("""COMPUTED_VALUE"""),"Baterias Celulares Xiaomi Mi A2 Sin Logo")</f>
        <v>Baterias Celulares Xiaomi Mi A2 Sin Logo</v>
      </c>
      <c r="C709" s="75">
        <f ca="1">IFERROR(__xludf.DUMMYFUNCTION("""COMPUTED_VALUE"""),50)</f>
        <v>50</v>
      </c>
      <c r="D709" s="75">
        <f ca="1">IFERROR(__xludf.DUMMYFUNCTION("""COMPUTED_VALUE"""),30)</f>
        <v>30</v>
      </c>
      <c r="E709" s="76">
        <f ca="1">IFERROR(__xludf.DUMMYFUNCTION("""COMPUTED_VALUE"""),80)</f>
        <v>80</v>
      </c>
      <c r="F709" s="77">
        <f ca="1">IFERROR(__xludf.DUMMYFUNCTION("""COMPUTED_VALUE"""),10020098)</f>
        <v>10020098</v>
      </c>
      <c r="G709" s="77" t="str">
        <f t="shared" ca="1" si="2"/>
        <v>si</v>
      </c>
    </row>
    <row r="710" spans="1:7" ht="12.75" x14ac:dyDescent="0.2">
      <c r="A710" s="62">
        <f ca="1">IFERROR(__xludf.DUMMYFUNCTION("""COMPUTED_VALUE"""),10020097)</f>
        <v>10020097</v>
      </c>
      <c r="B710" s="62" t="str">
        <f ca="1">IFERROR(__xludf.DUMMYFUNCTION("""COMPUTED_VALUE"""),"Baterias Celulares Xiaomi Mi A2 Lite Sin Logo")</f>
        <v>Baterias Celulares Xiaomi Mi A2 Lite Sin Logo</v>
      </c>
      <c r="C710" s="75">
        <f ca="1">IFERROR(__xludf.DUMMYFUNCTION("""COMPUTED_VALUE"""),50)</f>
        <v>50</v>
      </c>
      <c r="D710" s="75">
        <f ca="1">IFERROR(__xludf.DUMMYFUNCTION("""COMPUTED_VALUE"""),30)</f>
        <v>30</v>
      </c>
      <c r="E710" s="76">
        <f ca="1">IFERROR(__xludf.DUMMYFUNCTION("""COMPUTED_VALUE"""),80)</f>
        <v>80</v>
      </c>
      <c r="F710" s="77">
        <f ca="1">IFERROR(__xludf.DUMMYFUNCTION("""COMPUTED_VALUE"""),10020097)</f>
        <v>10020097</v>
      </c>
      <c r="G710" s="77" t="str">
        <f t="shared" ca="1" si="2"/>
        <v>si</v>
      </c>
    </row>
    <row r="711" spans="1:7" ht="12.75" x14ac:dyDescent="0.2">
      <c r="A711" s="62">
        <f ca="1">IFERROR(__xludf.DUMMYFUNCTION("""COMPUTED_VALUE"""),10020095)</f>
        <v>10020095</v>
      </c>
      <c r="B711" s="62" t="str">
        <f ca="1">IFERROR(__xludf.DUMMYFUNCTION("""COMPUTED_VALUE"""),"Baterias Celulares Xiaomi Mi 8 Sin Logo")</f>
        <v>Baterias Celulares Xiaomi Mi 8 Sin Logo</v>
      </c>
      <c r="C711" s="75">
        <f ca="1">IFERROR(__xludf.DUMMYFUNCTION("""COMPUTED_VALUE"""),50)</f>
        <v>50</v>
      </c>
      <c r="D711" s="75">
        <f ca="1">IFERROR(__xludf.DUMMYFUNCTION("""COMPUTED_VALUE"""),30)</f>
        <v>30</v>
      </c>
      <c r="E711" s="76">
        <f ca="1">IFERROR(__xludf.DUMMYFUNCTION("""COMPUTED_VALUE"""),80)</f>
        <v>80</v>
      </c>
      <c r="F711" s="77">
        <f ca="1">IFERROR(__xludf.DUMMYFUNCTION("""COMPUTED_VALUE"""),10020095)</f>
        <v>10020095</v>
      </c>
      <c r="G711" s="77" t="str">
        <f t="shared" ca="1" si="2"/>
        <v>si</v>
      </c>
    </row>
    <row r="712" spans="1:7" ht="12.75" x14ac:dyDescent="0.2">
      <c r="A712" s="62">
        <f ca="1">IFERROR(__xludf.DUMMYFUNCTION("""COMPUTED_VALUE"""),10020094)</f>
        <v>10020094</v>
      </c>
      <c r="B712" s="62" t="str">
        <f ca="1">IFERROR(__xludf.DUMMYFUNCTION("""COMPUTED_VALUE"""),"Baterias Celulares Xiaomi Mi 8 Lite Sin Logo")</f>
        <v>Baterias Celulares Xiaomi Mi 8 Lite Sin Logo</v>
      </c>
      <c r="C712" s="75">
        <f ca="1">IFERROR(__xludf.DUMMYFUNCTION("""COMPUTED_VALUE"""),50)</f>
        <v>50</v>
      </c>
      <c r="D712" s="75">
        <f ca="1">IFERROR(__xludf.DUMMYFUNCTION("""COMPUTED_VALUE"""),30)</f>
        <v>30</v>
      </c>
      <c r="E712" s="76">
        <f ca="1">IFERROR(__xludf.DUMMYFUNCTION("""COMPUTED_VALUE"""),80)</f>
        <v>80</v>
      </c>
      <c r="F712" s="77">
        <f ca="1">IFERROR(__xludf.DUMMYFUNCTION("""COMPUTED_VALUE"""),10020094)</f>
        <v>10020094</v>
      </c>
      <c r="G712" s="77" t="str">
        <f t="shared" ca="1" si="2"/>
        <v>si</v>
      </c>
    </row>
    <row r="713" spans="1:7" ht="12.75" x14ac:dyDescent="0.2">
      <c r="A713" s="62">
        <f ca="1">IFERROR(__xludf.DUMMYFUNCTION("""COMPUTED_VALUE"""),10020096)</f>
        <v>10020096</v>
      </c>
      <c r="B713" s="62" t="str">
        <f ca="1">IFERROR(__xludf.DUMMYFUNCTION("""COMPUTED_VALUE"""),"Baterias Celulares Xiaomi Mi A1 Sin Logo")</f>
        <v>Baterias Celulares Xiaomi Mi A1 Sin Logo</v>
      </c>
      <c r="C713" s="75">
        <f ca="1">IFERROR(__xludf.DUMMYFUNCTION("""COMPUTED_VALUE"""),50)</f>
        <v>50</v>
      </c>
      <c r="D713" s="75">
        <f ca="1">IFERROR(__xludf.DUMMYFUNCTION("""COMPUTED_VALUE"""),30)</f>
        <v>30</v>
      </c>
      <c r="E713" s="76">
        <f ca="1">IFERROR(__xludf.DUMMYFUNCTION("""COMPUTED_VALUE"""),80)</f>
        <v>80</v>
      </c>
      <c r="F713" s="77">
        <f ca="1">IFERROR(__xludf.DUMMYFUNCTION("""COMPUTED_VALUE"""),10020096)</f>
        <v>10020096</v>
      </c>
      <c r="G713" s="77" t="str">
        <f t="shared" ca="1" si="2"/>
        <v>si</v>
      </c>
    </row>
    <row r="714" spans="1:7" ht="12.75" x14ac:dyDescent="0.2">
      <c r="A714" s="62">
        <f ca="1">IFERROR(__xludf.DUMMYFUNCTION("""COMPUTED_VALUE"""),10020099)</f>
        <v>10020099</v>
      </c>
      <c r="B714" s="62" t="str">
        <f ca="1">IFERROR(__xludf.DUMMYFUNCTION("""COMPUTED_VALUE"""),"Baterias Celulares Xiaomi Mi Mix Sin Logo")</f>
        <v>Baterias Celulares Xiaomi Mi Mix Sin Logo</v>
      </c>
      <c r="C714" s="75">
        <f ca="1">IFERROR(__xludf.DUMMYFUNCTION("""COMPUTED_VALUE"""),50)</f>
        <v>50</v>
      </c>
      <c r="D714" s="75">
        <f ca="1">IFERROR(__xludf.DUMMYFUNCTION("""COMPUTED_VALUE"""),30)</f>
        <v>30</v>
      </c>
      <c r="E714" s="76">
        <f ca="1">IFERROR(__xludf.DUMMYFUNCTION("""COMPUTED_VALUE"""),80)</f>
        <v>80</v>
      </c>
      <c r="F714" s="77">
        <f ca="1">IFERROR(__xludf.DUMMYFUNCTION("""COMPUTED_VALUE"""),10020099)</f>
        <v>10020099</v>
      </c>
      <c r="G714" s="77" t="str">
        <f t="shared" ca="1" si="2"/>
        <v>si</v>
      </c>
    </row>
    <row r="715" spans="1:7" ht="12.75" x14ac:dyDescent="0.2">
      <c r="A715" s="62">
        <f ca="1">IFERROR(__xludf.DUMMYFUNCTION("""COMPUTED_VALUE"""),10020100)</f>
        <v>10020100</v>
      </c>
      <c r="B715" s="62" t="str">
        <f ca="1">IFERROR(__xludf.DUMMYFUNCTION("""COMPUTED_VALUE"""),"Baterias Celulares Xiaomi Note 3 / Note 3 Pro Sin Logo")</f>
        <v>Baterias Celulares Xiaomi Note 3 / Note 3 Pro Sin Logo</v>
      </c>
      <c r="C715" s="75">
        <f ca="1">IFERROR(__xludf.DUMMYFUNCTION("""COMPUTED_VALUE"""),50)</f>
        <v>50</v>
      </c>
      <c r="D715" s="75">
        <f ca="1">IFERROR(__xludf.DUMMYFUNCTION("""COMPUTED_VALUE"""),30)</f>
        <v>30</v>
      </c>
      <c r="E715" s="76">
        <f ca="1">IFERROR(__xludf.DUMMYFUNCTION("""COMPUTED_VALUE"""),80)</f>
        <v>80</v>
      </c>
      <c r="F715" s="77">
        <f ca="1">IFERROR(__xludf.DUMMYFUNCTION("""COMPUTED_VALUE"""),10020100)</f>
        <v>10020100</v>
      </c>
      <c r="G715" s="77" t="str">
        <f t="shared" ca="1" si="2"/>
        <v>si</v>
      </c>
    </row>
    <row r="716" spans="1:7" ht="12.75" x14ac:dyDescent="0.2">
      <c r="A716" s="62">
        <f ca="1">IFERROR(__xludf.DUMMYFUNCTION("""COMPUTED_VALUE"""),10020101)</f>
        <v>10020101</v>
      </c>
      <c r="B716" s="62" t="str">
        <f ca="1">IFERROR(__xludf.DUMMYFUNCTION("""COMPUTED_VALUE"""),"Baterias Celulares Xiaomi Note 4 Sin Logo")</f>
        <v>Baterias Celulares Xiaomi Note 4 Sin Logo</v>
      </c>
      <c r="C716" s="75">
        <f ca="1">IFERROR(__xludf.DUMMYFUNCTION("""COMPUTED_VALUE"""),50)</f>
        <v>50</v>
      </c>
      <c r="D716" s="75">
        <f ca="1">IFERROR(__xludf.DUMMYFUNCTION("""COMPUTED_VALUE"""),30)</f>
        <v>30</v>
      </c>
      <c r="E716" s="76">
        <f ca="1">IFERROR(__xludf.DUMMYFUNCTION("""COMPUTED_VALUE"""),80)</f>
        <v>80</v>
      </c>
      <c r="F716" s="77">
        <f ca="1">IFERROR(__xludf.DUMMYFUNCTION("""COMPUTED_VALUE"""),10020101)</f>
        <v>10020101</v>
      </c>
      <c r="G716" s="77" t="str">
        <f t="shared" ca="1" si="2"/>
        <v>si</v>
      </c>
    </row>
    <row r="717" spans="1:7" ht="12.75" x14ac:dyDescent="0.2">
      <c r="A717" s="62">
        <f ca="1">IFERROR(__xludf.DUMMYFUNCTION("""COMPUTED_VALUE"""),10020102)</f>
        <v>10020102</v>
      </c>
      <c r="B717" s="62" t="str">
        <f ca="1">IFERROR(__xludf.DUMMYFUNCTION("""COMPUTED_VALUE"""),"Baterias Celulares Xiaomi Note 5 Sin Logo")</f>
        <v>Baterias Celulares Xiaomi Note 5 Sin Logo</v>
      </c>
      <c r="C717" s="75">
        <f ca="1">IFERROR(__xludf.DUMMYFUNCTION("""COMPUTED_VALUE"""),50)</f>
        <v>50</v>
      </c>
      <c r="D717" s="75">
        <f ca="1">IFERROR(__xludf.DUMMYFUNCTION("""COMPUTED_VALUE"""),30)</f>
        <v>30</v>
      </c>
      <c r="E717" s="76">
        <f ca="1">IFERROR(__xludf.DUMMYFUNCTION("""COMPUTED_VALUE"""),80)</f>
        <v>80</v>
      </c>
      <c r="F717" s="77">
        <f ca="1">IFERROR(__xludf.DUMMYFUNCTION("""COMPUTED_VALUE"""),10020102)</f>
        <v>10020102</v>
      </c>
      <c r="G717" s="77" t="str">
        <f t="shared" ca="1" si="2"/>
        <v>si</v>
      </c>
    </row>
    <row r="718" spans="1:7" ht="12.75" x14ac:dyDescent="0.2">
      <c r="A718" s="62">
        <f ca="1">IFERROR(__xludf.DUMMYFUNCTION("""COMPUTED_VALUE"""),10020103)</f>
        <v>10020103</v>
      </c>
      <c r="B718" s="62" t="str">
        <f ca="1">IFERROR(__xludf.DUMMYFUNCTION("""COMPUTED_VALUE"""),"Baterias Celulares Xiaomi Note 6 / Note 6 Pro Sin Logo")</f>
        <v>Baterias Celulares Xiaomi Note 6 / Note 6 Pro Sin Logo</v>
      </c>
      <c r="C718" s="75">
        <f ca="1">IFERROR(__xludf.DUMMYFUNCTION("""COMPUTED_VALUE"""),50)</f>
        <v>50</v>
      </c>
      <c r="D718" s="75">
        <f ca="1">IFERROR(__xludf.DUMMYFUNCTION("""COMPUTED_VALUE"""),30)</f>
        <v>30</v>
      </c>
      <c r="E718" s="76">
        <f ca="1">IFERROR(__xludf.DUMMYFUNCTION("""COMPUTED_VALUE"""),80)</f>
        <v>80</v>
      </c>
      <c r="F718" s="77">
        <f ca="1">IFERROR(__xludf.DUMMYFUNCTION("""COMPUTED_VALUE"""),10020103)</f>
        <v>10020103</v>
      </c>
      <c r="G718" s="77" t="str">
        <f t="shared" ca="1" si="2"/>
        <v>si</v>
      </c>
    </row>
    <row r="719" spans="1:7" ht="12.75" x14ac:dyDescent="0.2">
      <c r="A719" s="62">
        <f ca="1">IFERROR(__xludf.DUMMYFUNCTION("""COMPUTED_VALUE"""),10020104)</f>
        <v>10020104</v>
      </c>
      <c r="B719" s="62" t="str">
        <f ca="1">IFERROR(__xludf.DUMMYFUNCTION("""COMPUTED_VALUE"""),"Baterias Celulares Xiaomi Note 7 / Note 7")</f>
        <v>Baterias Celulares Xiaomi Note 7 / Note 7</v>
      </c>
      <c r="C719" s="75">
        <f ca="1">IFERROR(__xludf.DUMMYFUNCTION("""COMPUTED_VALUE"""),50)</f>
        <v>50</v>
      </c>
      <c r="D719" s="75">
        <f ca="1">IFERROR(__xludf.DUMMYFUNCTION("""COMPUTED_VALUE"""),30)</f>
        <v>30</v>
      </c>
      <c r="E719" s="76">
        <f ca="1">IFERROR(__xludf.DUMMYFUNCTION("""COMPUTED_VALUE"""),80)</f>
        <v>80</v>
      </c>
      <c r="F719" s="77">
        <f ca="1">IFERROR(__xludf.DUMMYFUNCTION("""COMPUTED_VALUE"""),10020104)</f>
        <v>10020104</v>
      </c>
      <c r="G719" s="77" t="str">
        <f t="shared" ca="1" si="2"/>
        <v>si</v>
      </c>
    </row>
    <row r="720" spans="1:7" ht="12.75" x14ac:dyDescent="0.2">
      <c r="A720" s="62">
        <f ca="1">IFERROR(__xludf.DUMMYFUNCTION("""COMPUTED_VALUE"""),10020001)</f>
        <v>10020001</v>
      </c>
      <c r="B720" s="62" t="str">
        <f ca="1">IFERROR(__xludf.DUMMYFUNCTION("""COMPUTED_VALUE"""),"Bateria IPAD 2")</f>
        <v>Bateria IPAD 2</v>
      </c>
      <c r="C720" s="75">
        <f ca="1">IFERROR(__xludf.DUMMYFUNCTION("""COMPUTED_VALUE"""),110)</f>
        <v>110</v>
      </c>
      <c r="D720" s="75">
        <f ca="1">IFERROR(__xludf.DUMMYFUNCTION("""COMPUTED_VALUE"""),50)</f>
        <v>50</v>
      </c>
      <c r="E720" s="76">
        <f ca="1">IFERROR(__xludf.DUMMYFUNCTION("""COMPUTED_VALUE"""),160)</f>
        <v>160</v>
      </c>
      <c r="F720" s="77">
        <f ca="1">IFERROR(__xludf.DUMMYFUNCTION("""COMPUTED_VALUE"""),10020001)</f>
        <v>10020001</v>
      </c>
      <c r="G720" s="77" t="str">
        <f t="shared" ca="1" si="2"/>
        <v>si</v>
      </c>
    </row>
    <row r="721" spans="1:7" ht="12.75" x14ac:dyDescent="0.2">
      <c r="A721" s="62">
        <f ca="1">IFERROR(__xludf.DUMMYFUNCTION("""COMPUTED_VALUE"""),10020012)</f>
        <v>10020012</v>
      </c>
      <c r="B721" s="62" t="str">
        <f ca="1">IFERROR(__xludf.DUMMYFUNCTION("""COMPUTED_VALUE"""),"Bateria Ipad3 / 4")</f>
        <v>Bateria Ipad3 / 4</v>
      </c>
      <c r="C721" s="75">
        <f ca="1">IFERROR(__xludf.DUMMYFUNCTION("""COMPUTED_VALUE"""),110)</f>
        <v>110</v>
      </c>
      <c r="D721" s="75">
        <f ca="1">IFERROR(__xludf.DUMMYFUNCTION("""COMPUTED_VALUE"""),50)</f>
        <v>50</v>
      </c>
      <c r="E721" s="76">
        <f ca="1">IFERROR(__xludf.DUMMYFUNCTION("""COMPUTED_VALUE"""),160)</f>
        <v>160</v>
      </c>
      <c r="F721" s="77">
        <f ca="1">IFERROR(__xludf.DUMMYFUNCTION("""COMPUTED_VALUE"""),10020012)</f>
        <v>10020012</v>
      </c>
      <c r="G721" s="77" t="str">
        <f t="shared" ca="1" si="2"/>
        <v>si</v>
      </c>
    </row>
    <row r="722" spans="1:7" ht="12.75" x14ac:dyDescent="0.2">
      <c r="A722" s="62">
        <f ca="1">IFERROR(__xludf.DUMMYFUNCTION("""COMPUTED_VALUE"""),10020003)</f>
        <v>10020003</v>
      </c>
      <c r="B722" s="62" t="str">
        <f ca="1">IFERROR(__xludf.DUMMYFUNCTION("""COMPUTED_VALUE"""),"Bateria Ipad 5 - Ipad Air 1")</f>
        <v>Bateria Ipad 5 - Ipad Air 1</v>
      </c>
      <c r="C722" s="75">
        <f ca="1">IFERROR(__xludf.DUMMYFUNCTION("""COMPUTED_VALUE"""),140)</f>
        <v>140</v>
      </c>
      <c r="D722" s="75">
        <f ca="1">IFERROR(__xludf.DUMMYFUNCTION("""COMPUTED_VALUE"""),50)</f>
        <v>50</v>
      </c>
      <c r="E722" s="76">
        <f ca="1">IFERROR(__xludf.DUMMYFUNCTION("""COMPUTED_VALUE"""),190)</f>
        <v>190</v>
      </c>
      <c r="F722" s="77">
        <f ca="1">IFERROR(__xludf.DUMMYFUNCTION("""COMPUTED_VALUE"""),10020003)</f>
        <v>10020003</v>
      </c>
      <c r="G722" s="77" t="str">
        <f t="shared" ca="1" si="2"/>
        <v>si</v>
      </c>
    </row>
    <row r="723" spans="1:7" ht="12.75" x14ac:dyDescent="0.2">
      <c r="A723" s="62">
        <f ca="1">IFERROR(__xludf.DUMMYFUNCTION("""COMPUTED_VALUE"""),10020004)</f>
        <v>10020004</v>
      </c>
      <c r="B723" s="62" t="str">
        <f ca="1">IFERROR(__xludf.DUMMYFUNCTION("""COMPUTED_VALUE"""),"Bateria Ipad 6 / Ipad Air 2")</f>
        <v>Bateria Ipad 6 / Ipad Air 2</v>
      </c>
      <c r="C723" s="75">
        <f ca="1">IFERROR(__xludf.DUMMYFUNCTION("""COMPUTED_VALUE"""),140)</f>
        <v>140</v>
      </c>
      <c r="D723" s="75">
        <f ca="1">IFERROR(__xludf.DUMMYFUNCTION("""COMPUTED_VALUE"""),100)</f>
        <v>100</v>
      </c>
      <c r="E723" s="76">
        <f ca="1">IFERROR(__xludf.DUMMYFUNCTION("""COMPUTED_VALUE"""),240)</f>
        <v>240</v>
      </c>
      <c r="F723" s="77">
        <f ca="1">IFERROR(__xludf.DUMMYFUNCTION("""COMPUTED_VALUE"""),10020004)</f>
        <v>10020004</v>
      </c>
      <c r="G723" s="77" t="str">
        <f t="shared" ca="1" si="2"/>
        <v>si</v>
      </c>
    </row>
    <row r="724" spans="1:7" ht="12.75" x14ac:dyDescent="0.2">
      <c r="A724" s="62">
        <f ca="1">IFERROR(__xludf.DUMMYFUNCTION("""COMPUTED_VALUE"""),10020123)</f>
        <v>10020123</v>
      </c>
      <c r="B724" s="62" t="str">
        <f ca="1">IFERROR(__xludf.DUMMYFUNCTION("""COMPUTED_VALUE"""),"Bateria Ipad 7 / 8")</f>
        <v>Bateria Ipad 7 / 8</v>
      </c>
      <c r="C724" s="75">
        <f ca="1">IFERROR(__xludf.DUMMYFUNCTION("""COMPUTED_VALUE"""),160)</f>
        <v>160</v>
      </c>
      <c r="D724" s="75">
        <f ca="1">IFERROR(__xludf.DUMMYFUNCTION("""COMPUTED_VALUE"""),100)</f>
        <v>100</v>
      </c>
      <c r="E724" s="76">
        <f ca="1">IFERROR(__xludf.DUMMYFUNCTION("""COMPUTED_VALUE"""),260)</f>
        <v>260</v>
      </c>
      <c r="F724" s="77">
        <f ca="1">IFERROR(__xludf.DUMMYFUNCTION("""COMPUTED_VALUE"""),10020123)</f>
        <v>10020123</v>
      </c>
      <c r="G724" s="77" t="str">
        <f t="shared" ca="1" si="2"/>
        <v>si</v>
      </c>
    </row>
    <row r="725" spans="1:7" ht="12.75" x14ac:dyDescent="0.2">
      <c r="A725" s="62">
        <f ca="1">IFERROR(__xludf.DUMMYFUNCTION("""COMPUTED_VALUE"""),10020005)</f>
        <v>10020005</v>
      </c>
      <c r="B725" s="62" t="str">
        <f ca="1">IFERROR(__xludf.DUMMYFUNCTION("""COMPUTED_VALUE"""),"Bateria Ipad mini")</f>
        <v>Bateria Ipad mini</v>
      </c>
      <c r="C725" s="75">
        <f ca="1">IFERROR(__xludf.DUMMYFUNCTION("""COMPUTED_VALUE"""),130)</f>
        <v>130</v>
      </c>
      <c r="D725" s="75">
        <f ca="1">IFERROR(__xludf.DUMMYFUNCTION("""COMPUTED_VALUE"""),50)</f>
        <v>50</v>
      </c>
      <c r="E725" s="76">
        <f ca="1">IFERROR(__xludf.DUMMYFUNCTION("""COMPUTED_VALUE"""),180)</f>
        <v>180</v>
      </c>
      <c r="F725" s="77">
        <f ca="1">IFERROR(__xludf.DUMMYFUNCTION("""COMPUTED_VALUE"""),10020005)</f>
        <v>10020005</v>
      </c>
      <c r="G725" s="77" t="str">
        <f t="shared" ca="1" si="2"/>
        <v>si</v>
      </c>
    </row>
    <row r="726" spans="1:7" ht="12.75" x14ac:dyDescent="0.2">
      <c r="A726" s="62">
        <f ca="1">IFERROR(__xludf.DUMMYFUNCTION("""COMPUTED_VALUE"""),10020006)</f>
        <v>10020006</v>
      </c>
      <c r="B726" s="62" t="str">
        <f ca="1">IFERROR(__xludf.DUMMYFUNCTION("""COMPUTED_VALUE"""),"Bateria Ipad mini 2")</f>
        <v>Bateria Ipad mini 2</v>
      </c>
      <c r="C726" s="75">
        <f ca="1">IFERROR(__xludf.DUMMYFUNCTION("""COMPUTED_VALUE"""),130)</f>
        <v>130</v>
      </c>
      <c r="D726" s="75">
        <f ca="1">IFERROR(__xludf.DUMMYFUNCTION("""COMPUTED_VALUE"""),50)</f>
        <v>50</v>
      </c>
      <c r="E726" s="76">
        <f ca="1">IFERROR(__xludf.DUMMYFUNCTION("""COMPUTED_VALUE"""),180)</f>
        <v>180</v>
      </c>
      <c r="F726" s="77">
        <f ca="1">IFERROR(__xludf.DUMMYFUNCTION("""COMPUTED_VALUE"""),10020006)</f>
        <v>10020006</v>
      </c>
      <c r="G726" s="77" t="str">
        <f t="shared" ca="1" si="2"/>
        <v>si</v>
      </c>
    </row>
    <row r="727" spans="1:7" ht="12.75" x14ac:dyDescent="0.2">
      <c r="A727" s="62">
        <f ca="1">IFERROR(__xludf.DUMMYFUNCTION("""COMPUTED_VALUE"""),10020007)</f>
        <v>10020007</v>
      </c>
      <c r="B727" s="62" t="str">
        <f ca="1">IFERROR(__xludf.DUMMYFUNCTION("""COMPUTED_VALUE"""),"Bateria Ipad mini 3")</f>
        <v>Bateria Ipad mini 3</v>
      </c>
      <c r="C727" s="75">
        <f ca="1">IFERROR(__xludf.DUMMYFUNCTION("""COMPUTED_VALUE"""),130)</f>
        <v>130</v>
      </c>
      <c r="D727" s="75">
        <f ca="1">IFERROR(__xludf.DUMMYFUNCTION("""COMPUTED_VALUE"""),50)</f>
        <v>50</v>
      </c>
      <c r="E727" s="76">
        <f ca="1">IFERROR(__xludf.DUMMYFUNCTION("""COMPUTED_VALUE"""),180)</f>
        <v>180</v>
      </c>
      <c r="F727" s="77">
        <f ca="1">IFERROR(__xludf.DUMMYFUNCTION("""COMPUTED_VALUE"""),10020007)</f>
        <v>10020007</v>
      </c>
      <c r="G727" s="77" t="str">
        <f t="shared" ca="1" si="2"/>
        <v>si</v>
      </c>
    </row>
    <row r="728" spans="1:7" ht="12.75" x14ac:dyDescent="0.2">
      <c r="A728" s="62">
        <f ca="1">IFERROR(__xludf.DUMMYFUNCTION("""COMPUTED_VALUE"""),10020008)</f>
        <v>10020008</v>
      </c>
      <c r="B728" s="62" t="str">
        <f ca="1">IFERROR(__xludf.DUMMYFUNCTION("""COMPUTED_VALUE"""),"Bateria Ipad mini 4")</f>
        <v>Bateria Ipad mini 4</v>
      </c>
      <c r="C728" s="75">
        <f ca="1">IFERROR(__xludf.DUMMYFUNCTION("""COMPUTED_VALUE"""),130)</f>
        <v>130</v>
      </c>
      <c r="D728" s="75">
        <f ca="1">IFERROR(__xludf.DUMMYFUNCTION("""COMPUTED_VALUE"""),100)</f>
        <v>100</v>
      </c>
      <c r="E728" s="76">
        <f ca="1">IFERROR(__xludf.DUMMYFUNCTION("""COMPUTED_VALUE"""),230)</f>
        <v>230</v>
      </c>
      <c r="F728" s="77">
        <f ca="1">IFERROR(__xludf.DUMMYFUNCTION("""COMPUTED_VALUE"""),10020008)</f>
        <v>10020008</v>
      </c>
      <c r="G728" s="77" t="str">
        <f t="shared" ca="1" si="2"/>
        <v>si</v>
      </c>
    </row>
    <row r="729" spans="1:7" ht="12.75" x14ac:dyDescent="0.2">
      <c r="A729" s="62">
        <f ca="1">IFERROR(__xludf.DUMMYFUNCTION("""COMPUTED_VALUE"""),10020124)</f>
        <v>10020124</v>
      </c>
      <c r="B729" s="62" t="str">
        <f ca="1">IFERROR(__xludf.DUMMYFUNCTION("""COMPUTED_VALUE"""),"Bateria Ipad mini 5")</f>
        <v>Bateria Ipad mini 5</v>
      </c>
      <c r="C729" s="75">
        <f ca="1">IFERROR(__xludf.DUMMYFUNCTION("""COMPUTED_VALUE"""),130)</f>
        <v>130</v>
      </c>
      <c r="D729" s="75">
        <f ca="1">IFERROR(__xludf.DUMMYFUNCTION("""COMPUTED_VALUE"""),100)</f>
        <v>100</v>
      </c>
      <c r="E729" s="76">
        <f ca="1">IFERROR(__xludf.DUMMYFUNCTION("""COMPUTED_VALUE"""),230)</f>
        <v>230</v>
      </c>
      <c r="F729" s="77">
        <f ca="1">IFERROR(__xludf.DUMMYFUNCTION("""COMPUTED_VALUE"""),10020124)</f>
        <v>10020124</v>
      </c>
      <c r="G729" s="77" t="str">
        <f t="shared" ca="1" si="2"/>
        <v>si</v>
      </c>
    </row>
    <row r="730" spans="1:7" ht="12.75" x14ac:dyDescent="0.2">
      <c r="A730" s="62">
        <f ca="1">IFERROR(__xludf.DUMMYFUNCTION("""COMPUTED_VALUE"""),10020011)</f>
        <v>10020011</v>
      </c>
      <c r="B730" s="62" t="str">
        <f ca="1">IFERROR(__xludf.DUMMYFUNCTION("""COMPUTED_VALUE"""),"Bateria Ipad pro 9.7 ")</f>
        <v xml:space="preserve">Bateria Ipad pro 9.7 </v>
      </c>
      <c r="C730" s="75">
        <f ca="1">IFERROR(__xludf.DUMMYFUNCTION("""COMPUTED_VALUE"""),150)</f>
        <v>150</v>
      </c>
      <c r="D730" s="75">
        <f ca="1">IFERROR(__xludf.DUMMYFUNCTION("""COMPUTED_VALUE"""),100)</f>
        <v>100</v>
      </c>
      <c r="E730" s="76">
        <f ca="1">IFERROR(__xludf.DUMMYFUNCTION("""COMPUTED_VALUE"""),250)</f>
        <v>250</v>
      </c>
      <c r="F730" s="77">
        <f ca="1">IFERROR(__xludf.DUMMYFUNCTION("""COMPUTED_VALUE"""),10020011)</f>
        <v>10020011</v>
      </c>
      <c r="G730" s="77" t="str">
        <f t="shared" ca="1" si="2"/>
        <v>si</v>
      </c>
    </row>
    <row r="731" spans="1:7" ht="12.75" x14ac:dyDescent="0.2">
      <c r="A731" s="62">
        <f ca="1">IFERROR(__xludf.DUMMYFUNCTION("""COMPUTED_VALUE"""),10020116)</f>
        <v>10020116</v>
      </c>
      <c r="B731" s="62" t="str">
        <f ca="1">IFERROR(__xludf.DUMMYFUNCTION("""COMPUTED_VALUE"""),"Bateria Ipad Air 3")</f>
        <v>Bateria Ipad Air 3</v>
      </c>
      <c r="C731" s="75">
        <f ca="1">IFERROR(__xludf.DUMMYFUNCTION("""COMPUTED_VALUE"""),170)</f>
        <v>170</v>
      </c>
      <c r="D731" s="75">
        <f ca="1">IFERROR(__xludf.DUMMYFUNCTION("""COMPUTED_VALUE"""),100)</f>
        <v>100</v>
      </c>
      <c r="E731" s="76">
        <f ca="1">IFERROR(__xludf.DUMMYFUNCTION("""COMPUTED_VALUE"""),270)</f>
        <v>270</v>
      </c>
      <c r="F731" s="77">
        <f ca="1">IFERROR(__xludf.DUMMYFUNCTION("""COMPUTED_VALUE"""),10020116)</f>
        <v>10020116</v>
      </c>
      <c r="G731" s="77" t="str">
        <f t="shared" ca="1" si="2"/>
        <v>si</v>
      </c>
    </row>
    <row r="732" spans="1:7" ht="12.75" x14ac:dyDescent="0.2">
      <c r="A732" s="62">
        <f ca="1">IFERROR(__xludf.DUMMYFUNCTION("""COMPUTED_VALUE"""),10020009)</f>
        <v>10020009</v>
      </c>
      <c r="B732" s="62" t="str">
        <f ca="1">IFERROR(__xludf.DUMMYFUNCTION("""COMPUTED_VALUE"""),"Bateria Ipad pro 10.5 / 1era - 2da 2018")</f>
        <v>Bateria Ipad pro 10.5 / 1era - 2da 2018</v>
      </c>
      <c r="C732" s="75">
        <f ca="1">IFERROR(__xludf.DUMMYFUNCTION("""COMPUTED_VALUE"""),180)</f>
        <v>180</v>
      </c>
      <c r="D732" s="75">
        <f ca="1">IFERROR(__xludf.DUMMYFUNCTION("""COMPUTED_VALUE"""),100)</f>
        <v>100</v>
      </c>
      <c r="E732" s="76">
        <f ca="1">IFERROR(__xludf.DUMMYFUNCTION("""COMPUTED_VALUE"""),280)</f>
        <v>280</v>
      </c>
      <c r="F732" s="77">
        <f ca="1">IFERROR(__xludf.DUMMYFUNCTION("""COMPUTED_VALUE"""),10020009)</f>
        <v>10020009</v>
      </c>
      <c r="G732" s="77" t="str">
        <f t="shared" ca="1" si="2"/>
        <v>si</v>
      </c>
    </row>
    <row r="733" spans="1:7" ht="12.75" x14ac:dyDescent="0.2">
      <c r="A733" s="62">
        <f ca="1">IFERROR(__xludf.DUMMYFUNCTION("""COMPUTED_VALUE"""),10020115)</f>
        <v>10020115</v>
      </c>
      <c r="B733" s="62" t="str">
        <f ca="1">IFERROR(__xludf.DUMMYFUNCTION("""COMPUTED_VALUE"""),"Bateria Ipad Pro 11 2020")</f>
        <v>Bateria Ipad Pro 11 2020</v>
      </c>
      <c r="C733" s="75">
        <f ca="1">IFERROR(__xludf.DUMMYFUNCTION("""COMPUTED_VALUE"""),190)</f>
        <v>190</v>
      </c>
      <c r="D733" s="75">
        <f ca="1">IFERROR(__xludf.DUMMYFUNCTION("""COMPUTED_VALUE"""),100)</f>
        <v>100</v>
      </c>
      <c r="E733" s="76">
        <f ca="1">IFERROR(__xludf.DUMMYFUNCTION("""COMPUTED_VALUE"""),290)</f>
        <v>290</v>
      </c>
      <c r="F733" s="77">
        <f ca="1">IFERROR(__xludf.DUMMYFUNCTION("""COMPUTED_VALUE"""),10020115)</f>
        <v>10020115</v>
      </c>
      <c r="G733" s="77" t="str">
        <f t="shared" ca="1" si="2"/>
        <v>si</v>
      </c>
    </row>
    <row r="734" spans="1:7" ht="12.75" x14ac:dyDescent="0.2">
      <c r="A734" s="62">
        <f ca="1">IFERROR(__xludf.DUMMYFUNCTION("""COMPUTED_VALUE"""),10020117)</f>
        <v>10020117</v>
      </c>
      <c r="B734" s="62" t="str">
        <f ca="1">IFERROR(__xludf.DUMMYFUNCTION("""COMPUTED_VALUE"""),"Bateria Ipad pro 12.9 2da")</f>
        <v>Bateria Ipad pro 12.9 2da</v>
      </c>
      <c r="C734" s="75">
        <f ca="1">IFERROR(__xludf.DUMMYFUNCTION("""COMPUTED_VALUE"""),190)</f>
        <v>190</v>
      </c>
      <c r="D734" s="75">
        <f ca="1">IFERROR(__xludf.DUMMYFUNCTION("""COMPUTED_VALUE"""),100)</f>
        <v>100</v>
      </c>
      <c r="E734" s="76">
        <f ca="1">IFERROR(__xludf.DUMMYFUNCTION("""COMPUTED_VALUE"""),290)</f>
        <v>290</v>
      </c>
      <c r="F734" s="77">
        <f ca="1">IFERROR(__xludf.DUMMYFUNCTION("""COMPUTED_VALUE"""),10020117)</f>
        <v>10020117</v>
      </c>
      <c r="G734" s="77" t="str">
        <f t="shared" ca="1" si="2"/>
        <v>si</v>
      </c>
    </row>
    <row r="735" spans="1:7" ht="12.75" x14ac:dyDescent="0.2">
      <c r="A735" s="62">
        <f ca="1">IFERROR(__xludf.DUMMYFUNCTION("""COMPUTED_VALUE"""),10020118)</f>
        <v>10020118</v>
      </c>
      <c r="B735" s="62" t="str">
        <f ca="1">IFERROR(__xludf.DUMMYFUNCTION("""COMPUTED_VALUE"""),"Bateria Ipad pro 12.9 3er")</f>
        <v>Bateria Ipad pro 12.9 3er</v>
      </c>
      <c r="C735" s="75">
        <f ca="1">IFERROR(__xludf.DUMMYFUNCTION("""COMPUTED_VALUE"""),220)</f>
        <v>220</v>
      </c>
      <c r="D735" s="75">
        <f ca="1">IFERROR(__xludf.DUMMYFUNCTION("""COMPUTED_VALUE"""),100)</f>
        <v>100</v>
      </c>
      <c r="E735" s="76">
        <f ca="1">IFERROR(__xludf.DUMMYFUNCTION("""COMPUTED_VALUE"""),320)</f>
        <v>320</v>
      </c>
      <c r="F735" s="77">
        <f ca="1">IFERROR(__xludf.DUMMYFUNCTION("""COMPUTED_VALUE"""),10020118)</f>
        <v>10020118</v>
      </c>
      <c r="G735" s="77" t="str">
        <f t="shared" ca="1" si="2"/>
        <v>si</v>
      </c>
    </row>
    <row r="736" spans="1:7" ht="12.75" x14ac:dyDescent="0.2">
      <c r="A736" s="62">
        <f ca="1">IFERROR(__xludf.DUMMYFUNCTION("""COMPUTED_VALUE"""),10020010)</f>
        <v>10020010</v>
      </c>
      <c r="B736" s="62" t="str">
        <f ca="1">IFERROR(__xludf.DUMMYFUNCTION("""COMPUTED_VALUE"""),"Bateria Ipad pro 12.9 1era")</f>
        <v>Bateria Ipad pro 12.9 1era</v>
      </c>
      <c r="C736" s="75">
        <f ca="1">IFERROR(__xludf.DUMMYFUNCTION("""COMPUTED_VALUE"""),180)</f>
        <v>180</v>
      </c>
      <c r="D736" s="75">
        <f ca="1">IFERROR(__xludf.DUMMYFUNCTION("""COMPUTED_VALUE"""),100)</f>
        <v>100</v>
      </c>
      <c r="E736" s="76">
        <f ca="1">IFERROR(__xludf.DUMMYFUNCTION("""COMPUTED_VALUE"""),280)</f>
        <v>280</v>
      </c>
      <c r="F736" s="77">
        <f ca="1">IFERROR(__xludf.DUMMYFUNCTION("""COMPUTED_VALUE"""),10020010)</f>
        <v>10020010</v>
      </c>
      <c r="G736" s="77" t="str">
        <f t="shared" ca="1" si="2"/>
        <v>si</v>
      </c>
    </row>
    <row r="737" spans="1:7" ht="12.75" x14ac:dyDescent="0.2">
      <c r="A737" s="62">
        <f ca="1">IFERROR(__xludf.DUMMYFUNCTION("""COMPUTED_VALUE"""),10020015)</f>
        <v>10020015</v>
      </c>
      <c r="B737" s="62" t="str">
        <f ca="1">IFERROR(__xludf.DUMMYFUNCTION("""COMPUTED_VALUE"""),"Bateria Wacth Serie 2 38mm")</f>
        <v>Bateria Wacth Serie 2 38mm</v>
      </c>
      <c r="C737" s="75">
        <f ca="1">IFERROR(__xludf.DUMMYFUNCTION("""COMPUTED_VALUE"""),70)</f>
        <v>70</v>
      </c>
      <c r="D737" s="75">
        <f ca="1">IFERROR(__xludf.DUMMYFUNCTION("""COMPUTED_VALUE"""),30)</f>
        <v>30</v>
      </c>
      <c r="E737" s="76">
        <f ca="1">IFERROR(__xludf.DUMMYFUNCTION("""COMPUTED_VALUE"""),100)</f>
        <v>100</v>
      </c>
      <c r="F737" s="77">
        <f ca="1">IFERROR(__xludf.DUMMYFUNCTION("""COMPUTED_VALUE"""),10020015)</f>
        <v>10020015</v>
      </c>
      <c r="G737" s="77" t="str">
        <f t="shared" ca="1" si="2"/>
        <v>si</v>
      </c>
    </row>
    <row r="738" spans="1:7" ht="12.75" x14ac:dyDescent="0.2">
      <c r="A738" s="62">
        <f ca="1">IFERROR(__xludf.DUMMYFUNCTION("""COMPUTED_VALUE"""),10020017)</f>
        <v>10020017</v>
      </c>
      <c r="B738" s="62" t="str">
        <f ca="1">IFERROR(__xludf.DUMMYFUNCTION("""COMPUTED_VALUE"""),"Bateria Wacth Serie 3 38mm")</f>
        <v>Bateria Wacth Serie 3 38mm</v>
      </c>
      <c r="C738" s="75">
        <f ca="1">IFERROR(__xludf.DUMMYFUNCTION("""COMPUTED_VALUE"""),70)</f>
        <v>70</v>
      </c>
      <c r="D738" s="75">
        <f ca="1">IFERROR(__xludf.DUMMYFUNCTION("""COMPUTED_VALUE"""),30)</f>
        <v>30</v>
      </c>
      <c r="E738" s="76">
        <f ca="1">IFERROR(__xludf.DUMMYFUNCTION("""COMPUTED_VALUE"""),100)</f>
        <v>100</v>
      </c>
      <c r="F738" s="77">
        <f ca="1">IFERROR(__xludf.DUMMYFUNCTION("""COMPUTED_VALUE"""),10020017)</f>
        <v>10020017</v>
      </c>
      <c r="G738" s="77" t="str">
        <f t="shared" ca="1" si="2"/>
        <v>si</v>
      </c>
    </row>
    <row r="739" spans="1:7" ht="12.75" x14ac:dyDescent="0.2">
      <c r="A739" s="62">
        <f ca="1">IFERROR(__xludf.DUMMYFUNCTION("""COMPUTED_VALUE"""),10020119)</f>
        <v>10020119</v>
      </c>
      <c r="B739" s="62" t="str">
        <f ca="1">IFERROR(__xludf.DUMMYFUNCTION("""COMPUTED_VALUE"""),"Bateria Wacth Serie 4 40mm")</f>
        <v>Bateria Wacth Serie 4 40mm</v>
      </c>
      <c r="C739" s="75">
        <f ca="1">IFERROR(__xludf.DUMMYFUNCTION("""COMPUTED_VALUE"""),90)</f>
        <v>90</v>
      </c>
      <c r="D739" s="75">
        <f ca="1">IFERROR(__xludf.DUMMYFUNCTION("""COMPUTED_VALUE"""),30)</f>
        <v>30</v>
      </c>
      <c r="E739" s="76">
        <f ca="1">IFERROR(__xludf.DUMMYFUNCTION("""COMPUTED_VALUE"""),120)</f>
        <v>120</v>
      </c>
      <c r="F739" s="77">
        <f ca="1">IFERROR(__xludf.DUMMYFUNCTION("""COMPUTED_VALUE"""),10020119)</f>
        <v>10020119</v>
      </c>
      <c r="G739" s="77" t="str">
        <f t="shared" ca="1" si="2"/>
        <v>si</v>
      </c>
    </row>
    <row r="740" spans="1:7" ht="12.75" x14ac:dyDescent="0.2">
      <c r="A740" s="62">
        <f ca="1">IFERROR(__xludf.DUMMYFUNCTION("""COMPUTED_VALUE"""),10020120)</f>
        <v>10020120</v>
      </c>
      <c r="B740" s="62" t="str">
        <f ca="1">IFERROR(__xludf.DUMMYFUNCTION("""COMPUTED_VALUE"""),"Bateria Wacth Serie 5 40mm")</f>
        <v>Bateria Wacth Serie 5 40mm</v>
      </c>
      <c r="C740" s="75">
        <f ca="1">IFERROR(__xludf.DUMMYFUNCTION("""COMPUTED_VALUE"""),90)</f>
        <v>90</v>
      </c>
      <c r="D740" s="75">
        <f ca="1">IFERROR(__xludf.DUMMYFUNCTION("""COMPUTED_VALUE"""),30)</f>
        <v>30</v>
      </c>
      <c r="E740" s="76">
        <f ca="1">IFERROR(__xludf.DUMMYFUNCTION("""COMPUTED_VALUE"""),120)</f>
        <v>120</v>
      </c>
      <c r="F740" s="77">
        <f ca="1">IFERROR(__xludf.DUMMYFUNCTION("""COMPUTED_VALUE"""),10020120)</f>
        <v>10020120</v>
      </c>
      <c r="G740" s="77" t="str">
        <f t="shared" ca="1" si="2"/>
        <v>si</v>
      </c>
    </row>
    <row r="741" spans="1:7" ht="12.75" x14ac:dyDescent="0.2">
      <c r="A741" s="62">
        <f ca="1">IFERROR(__xludf.DUMMYFUNCTION("""COMPUTED_VALUE"""),10020014)</f>
        <v>10020014</v>
      </c>
      <c r="B741" s="62" t="str">
        <f ca="1">IFERROR(__xludf.DUMMYFUNCTION("""COMPUTED_VALUE"""),"Bateria Wacth Serie 1 42mm")</f>
        <v>Bateria Wacth Serie 1 42mm</v>
      </c>
      <c r="C741" s="75">
        <f ca="1">IFERROR(__xludf.DUMMYFUNCTION("""COMPUTED_VALUE"""),70)</f>
        <v>70</v>
      </c>
      <c r="D741" s="75">
        <f ca="1">IFERROR(__xludf.DUMMYFUNCTION("""COMPUTED_VALUE"""),30)</f>
        <v>30</v>
      </c>
      <c r="E741" s="76">
        <f ca="1">IFERROR(__xludf.DUMMYFUNCTION("""COMPUTED_VALUE"""),100)</f>
        <v>100</v>
      </c>
      <c r="F741" s="77">
        <f ca="1">IFERROR(__xludf.DUMMYFUNCTION("""COMPUTED_VALUE"""),10020014)</f>
        <v>10020014</v>
      </c>
      <c r="G741" s="77" t="str">
        <f t="shared" ca="1" si="2"/>
        <v>si</v>
      </c>
    </row>
    <row r="742" spans="1:7" ht="12.75" x14ac:dyDescent="0.2">
      <c r="A742" s="62">
        <f ca="1">IFERROR(__xludf.DUMMYFUNCTION("""COMPUTED_VALUE"""),10020016)</f>
        <v>10020016</v>
      </c>
      <c r="B742" s="62" t="str">
        <f ca="1">IFERROR(__xludf.DUMMYFUNCTION("""COMPUTED_VALUE"""),"Bateria Wacth Serie 2 42mm")</f>
        <v>Bateria Wacth Serie 2 42mm</v>
      </c>
      <c r="C742" s="75">
        <f ca="1">IFERROR(__xludf.DUMMYFUNCTION("""COMPUTED_VALUE"""),70)</f>
        <v>70</v>
      </c>
      <c r="D742" s="75">
        <f ca="1">IFERROR(__xludf.DUMMYFUNCTION("""COMPUTED_VALUE"""),30)</f>
        <v>30</v>
      </c>
      <c r="E742" s="76">
        <f ca="1">IFERROR(__xludf.DUMMYFUNCTION("""COMPUTED_VALUE"""),100)</f>
        <v>100</v>
      </c>
      <c r="F742" s="77">
        <f ca="1">IFERROR(__xludf.DUMMYFUNCTION("""COMPUTED_VALUE"""),10020016)</f>
        <v>10020016</v>
      </c>
      <c r="G742" s="77" t="str">
        <f t="shared" ca="1" si="2"/>
        <v>si</v>
      </c>
    </row>
    <row r="743" spans="1:7" ht="12.75" x14ac:dyDescent="0.2">
      <c r="A743" s="62">
        <f ca="1">IFERROR(__xludf.DUMMYFUNCTION("""COMPUTED_VALUE"""),10020018)</f>
        <v>10020018</v>
      </c>
      <c r="B743" s="62" t="str">
        <f ca="1">IFERROR(__xludf.DUMMYFUNCTION("""COMPUTED_VALUE"""),"Bateria Wacth Serie 3 42mm")</f>
        <v>Bateria Wacth Serie 3 42mm</v>
      </c>
      <c r="C743" s="75">
        <f ca="1">IFERROR(__xludf.DUMMYFUNCTION("""COMPUTED_VALUE"""),70)</f>
        <v>70</v>
      </c>
      <c r="D743" s="75">
        <f ca="1">IFERROR(__xludf.DUMMYFUNCTION("""COMPUTED_VALUE"""),30)</f>
        <v>30</v>
      </c>
      <c r="E743" s="76">
        <f ca="1">IFERROR(__xludf.DUMMYFUNCTION("""COMPUTED_VALUE"""),100)</f>
        <v>100</v>
      </c>
      <c r="F743" s="77">
        <f ca="1">IFERROR(__xludf.DUMMYFUNCTION("""COMPUTED_VALUE"""),10020018)</f>
        <v>10020018</v>
      </c>
      <c r="G743" s="77" t="str">
        <f t="shared" ca="1" si="2"/>
        <v>si</v>
      </c>
    </row>
    <row r="744" spans="1:7" ht="12.75" x14ac:dyDescent="0.2">
      <c r="A744" s="62">
        <f ca="1">IFERROR(__xludf.DUMMYFUNCTION("""COMPUTED_VALUE"""),10020121)</f>
        <v>10020121</v>
      </c>
      <c r="B744" s="62" t="str">
        <f ca="1">IFERROR(__xludf.DUMMYFUNCTION("""COMPUTED_VALUE"""),"Bateria Wacth Serie 4 44mm")</f>
        <v>Bateria Wacth Serie 4 44mm</v>
      </c>
      <c r="C744" s="75">
        <f ca="1">IFERROR(__xludf.DUMMYFUNCTION("""COMPUTED_VALUE"""),90)</f>
        <v>90</v>
      </c>
      <c r="D744" s="75">
        <f ca="1">IFERROR(__xludf.DUMMYFUNCTION("""COMPUTED_VALUE"""),30)</f>
        <v>30</v>
      </c>
      <c r="E744" s="76">
        <f ca="1">IFERROR(__xludf.DUMMYFUNCTION("""COMPUTED_VALUE"""),120)</f>
        <v>120</v>
      </c>
      <c r="F744" s="77">
        <f ca="1">IFERROR(__xludf.DUMMYFUNCTION("""COMPUTED_VALUE"""),10020121)</f>
        <v>10020121</v>
      </c>
      <c r="G744" s="77" t="str">
        <f t="shared" ca="1" si="2"/>
        <v>si</v>
      </c>
    </row>
    <row r="745" spans="1:7" ht="12.75" x14ac:dyDescent="0.2">
      <c r="A745" s="62">
        <f ca="1">IFERROR(__xludf.DUMMYFUNCTION("""COMPUTED_VALUE"""),10020122)</f>
        <v>10020122</v>
      </c>
      <c r="B745" s="62" t="str">
        <f ca="1">IFERROR(__xludf.DUMMYFUNCTION("""COMPUTED_VALUE"""),"Bateria Wacth Serie 5 44mm")</f>
        <v>Bateria Wacth Serie 5 44mm</v>
      </c>
      <c r="C745" s="75">
        <f ca="1">IFERROR(__xludf.DUMMYFUNCTION("""COMPUTED_VALUE"""),90)</f>
        <v>90</v>
      </c>
      <c r="D745" s="75">
        <f ca="1">IFERROR(__xludf.DUMMYFUNCTION("""COMPUTED_VALUE"""),30)</f>
        <v>30</v>
      </c>
      <c r="E745" s="76">
        <f ca="1">IFERROR(__xludf.DUMMYFUNCTION("""COMPUTED_VALUE"""),120)</f>
        <v>120</v>
      </c>
      <c r="F745" s="77">
        <f ca="1">IFERROR(__xludf.DUMMYFUNCTION("""COMPUTED_VALUE"""),10020122)</f>
        <v>10020122</v>
      </c>
      <c r="G745" s="77" t="str">
        <f t="shared" ca="1" si="2"/>
        <v>si</v>
      </c>
    </row>
    <row r="746" spans="1:7" ht="12.75" x14ac:dyDescent="0.2">
      <c r="A746" s="62">
        <f ca="1">IFERROR(__xludf.DUMMYFUNCTION("""COMPUTED_VALUE"""),10060003)</f>
        <v>10060003</v>
      </c>
      <c r="B746" s="62" t="str">
        <f ca="1">IFERROR(__xludf.DUMMYFUNCTION("""COMPUTED_VALUE"""),"Mica Vidrio Completas")</f>
        <v>Mica Vidrio Completas</v>
      </c>
      <c r="C746" s="75">
        <f ca="1">IFERROR(__xludf.DUMMYFUNCTION("""COMPUTED_VALUE"""),5)</f>
        <v>5</v>
      </c>
      <c r="D746" s="75">
        <f ca="1">IFERROR(__xludf.DUMMYFUNCTION("""COMPUTED_VALUE"""),0)</f>
        <v>0</v>
      </c>
      <c r="E746" s="76">
        <f ca="1">IFERROR(__xludf.DUMMYFUNCTION("""COMPUTED_VALUE"""),5)</f>
        <v>5</v>
      </c>
      <c r="F746" s="77">
        <f ca="1">IFERROR(__xludf.DUMMYFUNCTION("""COMPUTED_VALUE"""),10060003)</f>
        <v>10060003</v>
      </c>
      <c r="G746" s="77" t="str">
        <f t="shared" ca="1" si="2"/>
        <v>si</v>
      </c>
    </row>
    <row r="747" spans="1:7" ht="12.75" x14ac:dyDescent="0.2">
      <c r="A747" s="62">
        <f ca="1">IFERROR(__xludf.DUMMYFUNCTION("""COMPUTED_VALUE"""),10060002)</f>
        <v>10060002</v>
      </c>
      <c r="B747" s="62" t="str">
        <f ca="1">IFERROR(__xludf.DUMMYFUNCTION("""COMPUTED_VALUE"""),"Hidrogel HD")</f>
        <v>Hidrogel HD</v>
      </c>
      <c r="C747" s="75">
        <f ca="1">IFERROR(__xludf.DUMMYFUNCTION("""COMPUTED_VALUE"""),20)</f>
        <v>20</v>
      </c>
      <c r="D747" s="75">
        <f ca="1">IFERROR(__xludf.DUMMYFUNCTION("""COMPUTED_VALUE"""),10)</f>
        <v>10</v>
      </c>
      <c r="E747" s="76">
        <f ca="1">IFERROR(__xludf.DUMMYFUNCTION("""COMPUTED_VALUE"""),30)</f>
        <v>30</v>
      </c>
      <c r="F747" s="77">
        <f ca="1">IFERROR(__xludf.DUMMYFUNCTION("""COMPUTED_VALUE"""),10060002)</f>
        <v>10060002</v>
      </c>
      <c r="G747" s="77" t="str">
        <f t="shared" ca="1" si="2"/>
        <v>si</v>
      </c>
    </row>
    <row r="748" spans="1:7" ht="12.75" x14ac:dyDescent="0.2">
      <c r="A748" s="62">
        <f ca="1">IFERROR(__xludf.DUMMYFUNCTION("""COMPUTED_VALUE"""),10080296)</f>
        <v>10080296</v>
      </c>
      <c r="B748" s="62" t="str">
        <f ca="1">IFERROR(__xludf.DUMMYFUNCTION("""COMPUTED_VALUE"""),"Hidrogel Matte")</f>
        <v>Hidrogel Matte</v>
      </c>
      <c r="C748" s="75">
        <f ca="1">IFERROR(__xludf.DUMMYFUNCTION("""COMPUTED_VALUE"""),20)</f>
        <v>20</v>
      </c>
      <c r="D748" s="75">
        <f ca="1">IFERROR(__xludf.DUMMYFUNCTION("""COMPUTED_VALUE"""),10)</f>
        <v>10</v>
      </c>
      <c r="E748" s="76">
        <f ca="1">IFERROR(__xludf.DUMMYFUNCTION("""COMPUTED_VALUE"""),30)</f>
        <v>30</v>
      </c>
      <c r="F748" s="77">
        <f ca="1">IFERROR(__xludf.DUMMYFUNCTION("""COMPUTED_VALUE"""),10080296)</f>
        <v>10080296</v>
      </c>
      <c r="G748" s="77" t="str">
        <f t="shared" ca="1" si="2"/>
        <v>si</v>
      </c>
    </row>
    <row r="749" spans="1:7" ht="12.75" x14ac:dyDescent="0.2">
      <c r="A749" s="62">
        <f ca="1">IFERROR(__xludf.DUMMYFUNCTION("""COMPUTED_VALUE"""),10080297)</f>
        <v>10080297</v>
      </c>
      <c r="B749" s="62" t="str">
        <f ca="1">IFERROR(__xludf.DUMMYFUNCTION("""COMPUTED_VALUE"""),"Hidrogel UV Ray")</f>
        <v>Hidrogel UV Ray</v>
      </c>
      <c r="C749" s="75">
        <f ca="1">IFERROR(__xludf.DUMMYFUNCTION("""COMPUTED_VALUE"""),20)</f>
        <v>20</v>
      </c>
      <c r="D749" s="75">
        <f ca="1">IFERROR(__xludf.DUMMYFUNCTION("""COMPUTED_VALUE"""),10)</f>
        <v>10</v>
      </c>
      <c r="E749" s="76">
        <f ca="1">IFERROR(__xludf.DUMMYFUNCTION("""COMPUTED_VALUE"""),30)</f>
        <v>30</v>
      </c>
      <c r="F749" s="77">
        <f ca="1">IFERROR(__xludf.DUMMYFUNCTION("""COMPUTED_VALUE"""),10080297)</f>
        <v>10080297</v>
      </c>
      <c r="G749" s="77" t="str">
        <f t="shared" ca="1" si="2"/>
        <v>si</v>
      </c>
    </row>
    <row r="750" spans="1:7" ht="12.75" x14ac:dyDescent="0.2">
      <c r="A750" s="62">
        <f ca="1">IFERROR(__xludf.DUMMYFUNCTION("""COMPUTED_VALUE"""),10080298)</f>
        <v>10080298</v>
      </c>
      <c r="B750" s="62" t="str">
        <f ca="1">IFERROR(__xludf.DUMMYFUNCTION("""COMPUTED_VALUE"""),"Hidrogel Anti Espia")</f>
        <v>Hidrogel Anti Espia</v>
      </c>
      <c r="C750" s="75">
        <f ca="1">IFERROR(__xludf.DUMMYFUNCTION("""COMPUTED_VALUE"""),30)</f>
        <v>30</v>
      </c>
      <c r="D750" s="75">
        <f ca="1">IFERROR(__xludf.DUMMYFUNCTION("""COMPUTED_VALUE"""),10)</f>
        <v>10</v>
      </c>
      <c r="E750" s="76">
        <f ca="1">IFERROR(__xludf.DUMMYFUNCTION("""COMPUTED_VALUE"""),40)</f>
        <v>40</v>
      </c>
      <c r="F750" s="77">
        <f ca="1">IFERROR(__xludf.DUMMYFUNCTION("""COMPUTED_VALUE"""),10080298)</f>
        <v>10080298</v>
      </c>
      <c r="G750" s="77" t="str">
        <f t="shared" ca="1" si="2"/>
        <v>si</v>
      </c>
    </row>
    <row r="751" spans="1:7" ht="12.75" x14ac:dyDescent="0.2">
      <c r="A751" s="62">
        <f ca="1">IFERROR(__xludf.DUMMYFUNCTION("""COMPUTED_VALUE"""),10080299)</f>
        <v>10080299</v>
      </c>
      <c r="B751" s="62" t="str">
        <f ca="1">IFERROR(__xludf.DUMMYFUNCTION("""COMPUTED_VALUE"""),"Hidrogel 360 Matte")</f>
        <v>Hidrogel 360 Matte</v>
      </c>
      <c r="C751" s="75">
        <f ca="1">IFERROR(__xludf.DUMMYFUNCTION("""COMPUTED_VALUE"""),40)</f>
        <v>40</v>
      </c>
      <c r="D751" s="75">
        <f ca="1">IFERROR(__xludf.DUMMYFUNCTION("""COMPUTED_VALUE"""),10)</f>
        <v>10</v>
      </c>
      <c r="E751" s="76">
        <f ca="1">IFERROR(__xludf.DUMMYFUNCTION("""COMPUTED_VALUE"""),50)</f>
        <v>50</v>
      </c>
      <c r="F751" s="77">
        <f ca="1">IFERROR(__xludf.DUMMYFUNCTION("""COMPUTED_VALUE"""),10080299)</f>
        <v>10080299</v>
      </c>
      <c r="G751" s="77" t="str">
        <f t="shared" ca="1" si="2"/>
        <v>si</v>
      </c>
    </row>
    <row r="752" spans="1:7" ht="12.75" x14ac:dyDescent="0.2">
      <c r="A752" s="62">
        <f ca="1">IFERROR(__xludf.DUMMYFUNCTION("""COMPUTED_VALUE"""),10060001)</f>
        <v>10060001</v>
      </c>
      <c r="B752" s="62" t="str">
        <f ca="1">IFERROR(__xludf.DUMMYFUNCTION("""COMPUTED_VALUE"""),"Hidrogel IPAD - Laptop HD ")</f>
        <v xml:space="preserve">Hidrogel IPAD - Laptop HD </v>
      </c>
      <c r="C752" s="75">
        <f ca="1">IFERROR(__xludf.DUMMYFUNCTION("""COMPUTED_VALUE"""),50)</f>
        <v>50</v>
      </c>
      <c r="D752" s="75">
        <f ca="1">IFERROR(__xludf.DUMMYFUNCTION("""COMPUTED_VALUE"""),0)</f>
        <v>0</v>
      </c>
      <c r="E752" s="76">
        <f ca="1">IFERROR(__xludf.DUMMYFUNCTION("""COMPUTED_VALUE"""),50)</f>
        <v>50</v>
      </c>
      <c r="F752" s="77">
        <f ca="1">IFERROR(__xludf.DUMMYFUNCTION("""COMPUTED_VALUE"""),10060001)</f>
        <v>10060001</v>
      </c>
      <c r="G752" s="77" t="str">
        <f t="shared" ca="1" si="2"/>
        <v>si</v>
      </c>
    </row>
    <row r="753" spans="1:7" ht="12.75" x14ac:dyDescent="0.2">
      <c r="A753" s="62">
        <f ca="1">IFERROR(__xludf.DUMMYFUNCTION("""COMPUTED_VALUE"""),10050006)</f>
        <v>10050006</v>
      </c>
      <c r="B753" s="62" t="str">
        <f ca="1">IFERROR(__xludf.DUMMYFUNCTION("""COMPUTED_VALUE"""),"Case Varios")</f>
        <v>Case Varios</v>
      </c>
      <c r="C753" s="75">
        <f ca="1">IFERROR(__xludf.DUMMYFUNCTION("""COMPUTED_VALUE"""),15)</f>
        <v>15</v>
      </c>
      <c r="D753" s="75">
        <f ca="1">IFERROR(__xludf.DUMMYFUNCTION("""COMPUTED_VALUE"""),0)</f>
        <v>0</v>
      </c>
      <c r="E753" s="76">
        <f ca="1">IFERROR(__xludf.DUMMYFUNCTION("""COMPUTED_VALUE"""),15)</f>
        <v>15</v>
      </c>
      <c r="F753" s="77">
        <f ca="1">IFERROR(__xludf.DUMMYFUNCTION("""COMPUTED_VALUE"""),10050006)</f>
        <v>10050006</v>
      </c>
      <c r="G753" s="77" t="str">
        <f t="shared" ca="1" si="2"/>
        <v>si</v>
      </c>
    </row>
    <row r="754" spans="1:7" ht="12.75" x14ac:dyDescent="0.2">
      <c r="A754" s="62">
        <f ca="1">IFERROR(__xludf.DUMMYFUNCTION("""COMPUTED_VALUE"""),20170009)</f>
        <v>20170009</v>
      </c>
      <c r="B754" s="62" t="str">
        <f ca="1">IFERROR(__xludf.DUMMYFUNCTION("""COMPUTED_VALUE"""),"Laptop Lenovo Core i5 10ma SSD 512gb 8gb ram")</f>
        <v>Laptop Lenovo Core i5 10ma SSD 512gb 8gb ram</v>
      </c>
      <c r="C754" s="75">
        <f ca="1">IFERROR(__xludf.DUMMYFUNCTION("""COMPUTED_VALUE"""),2300)</f>
        <v>2300</v>
      </c>
      <c r="D754" s="75">
        <f ca="1">IFERROR(__xludf.DUMMYFUNCTION("""COMPUTED_VALUE"""),0)</f>
        <v>0</v>
      </c>
      <c r="E754" s="76">
        <f ca="1">IFERROR(__xludf.DUMMYFUNCTION("""COMPUTED_VALUE"""),2300)</f>
        <v>2300</v>
      </c>
      <c r="F754" s="77">
        <f ca="1">IFERROR(__xludf.DUMMYFUNCTION("""COMPUTED_VALUE"""),20170009)</f>
        <v>20170009</v>
      </c>
      <c r="G754" s="77" t="str">
        <f t="shared" ca="1" si="2"/>
        <v>si</v>
      </c>
    </row>
    <row r="755" spans="1:7" ht="12.75" x14ac:dyDescent="0.2">
      <c r="A755" s="62">
        <f ca="1">IFERROR(__xludf.DUMMYFUNCTION("""COMPUTED_VALUE"""),20170007)</f>
        <v>20170007</v>
      </c>
      <c r="B755" s="62" t="str">
        <f ca="1">IFERROR(__xludf.DUMMYFUNCTION("""COMPUTED_VALUE"""),"Laptop HP Core i5 10ma SSD 256gb 8Gb Ram ")</f>
        <v xml:space="preserve">Laptop HP Core i5 10ma SSD 256gb 8Gb Ram </v>
      </c>
      <c r="C755" s="75">
        <f ca="1">IFERROR(__xludf.DUMMYFUNCTION("""COMPUTED_VALUE"""),2300)</f>
        <v>2300</v>
      </c>
      <c r="D755" s="75">
        <f ca="1">IFERROR(__xludf.DUMMYFUNCTION("""COMPUTED_VALUE"""),0)</f>
        <v>0</v>
      </c>
      <c r="E755" s="76">
        <f ca="1">IFERROR(__xludf.DUMMYFUNCTION("""COMPUTED_VALUE"""),2300)</f>
        <v>2300</v>
      </c>
      <c r="F755" s="77">
        <f ca="1">IFERROR(__xludf.DUMMYFUNCTION("""COMPUTED_VALUE"""),20170007)</f>
        <v>20170007</v>
      </c>
      <c r="G755" s="77" t="str">
        <f t="shared" ca="1" si="2"/>
        <v>si</v>
      </c>
    </row>
    <row r="756" spans="1:7" ht="12.75" x14ac:dyDescent="0.2">
      <c r="A756" s="62">
        <f ca="1">IFERROR(__xludf.DUMMYFUNCTION("""COMPUTED_VALUE"""),20170008)</f>
        <v>20170008</v>
      </c>
      <c r="B756" s="62" t="str">
        <f ca="1">IFERROR(__xludf.DUMMYFUNCTION("""COMPUTED_VALUE"""),"Laptop HP Core i3 10ma SSD 128gb 8ram")</f>
        <v>Laptop HP Core i3 10ma SSD 128gb 8ram</v>
      </c>
      <c r="C756" s="75">
        <f ca="1">IFERROR(__xludf.DUMMYFUNCTION("""COMPUTED_VALUE"""),1500)</f>
        <v>1500</v>
      </c>
      <c r="D756" s="75">
        <f ca="1">IFERROR(__xludf.DUMMYFUNCTION("""COMPUTED_VALUE"""),0)</f>
        <v>0</v>
      </c>
      <c r="E756" s="76">
        <f ca="1">IFERROR(__xludf.DUMMYFUNCTION("""COMPUTED_VALUE"""),1500)</f>
        <v>1500</v>
      </c>
      <c r="F756" s="77">
        <f ca="1">IFERROR(__xludf.DUMMYFUNCTION("""COMPUTED_VALUE"""),20170008)</f>
        <v>20170008</v>
      </c>
      <c r="G756" s="77" t="str">
        <f t="shared" ca="1" si="2"/>
        <v>si</v>
      </c>
    </row>
    <row r="757" spans="1:7" ht="12.75" x14ac:dyDescent="0.2">
      <c r="A757" s="62">
        <f ca="1">IFERROR(__xludf.DUMMYFUNCTION("""COMPUTED_VALUE"""),20170010)</f>
        <v>20170010</v>
      </c>
      <c r="B757" s="62" t="str">
        <f ca="1">IFERROR(__xludf.DUMMYFUNCTION("""COMPUTED_VALUE"""),"Laptop Azus Core i3 10ma SSD 128gb 8ram")</f>
        <v>Laptop Azus Core i3 10ma SSD 128gb 8ram</v>
      </c>
      <c r="C757" s="75">
        <f ca="1">IFERROR(__xludf.DUMMYFUNCTION("""COMPUTED_VALUE"""),1500)</f>
        <v>1500</v>
      </c>
      <c r="D757" s="75">
        <f ca="1">IFERROR(__xludf.DUMMYFUNCTION("""COMPUTED_VALUE"""),0)</f>
        <v>0</v>
      </c>
      <c r="E757" s="76">
        <f ca="1">IFERROR(__xludf.DUMMYFUNCTION("""COMPUTED_VALUE"""),1500)</f>
        <v>1500</v>
      </c>
      <c r="F757" s="77">
        <f ca="1">IFERROR(__xludf.DUMMYFUNCTION("""COMPUTED_VALUE"""),20170010)</f>
        <v>20170010</v>
      </c>
      <c r="G757" s="77" t="str">
        <f t="shared" ca="1" si="2"/>
        <v>si</v>
      </c>
    </row>
    <row r="758" spans="1:7" ht="12.75" x14ac:dyDescent="0.2">
      <c r="A758" s="62">
        <f ca="1">IFERROR(__xludf.DUMMYFUNCTION("""COMPUTED_VALUE"""),10110033)</f>
        <v>10110033</v>
      </c>
      <c r="B758" s="62" t="str">
        <f ca="1">IFERROR(__xludf.DUMMYFUNCTION("""COMPUTED_VALUE"""),"Xs Max 512Gb")</f>
        <v>Xs Max 512Gb</v>
      </c>
      <c r="C758" s="75">
        <f ca="1">IFERROR(__xludf.DUMMYFUNCTION("""COMPUTED_VALUE"""),2400)</f>
        <v>2400</v>
      </c>
      <c r="D758" s="75">
        <f ca="1">IFERROR(__xludf.DUMMYFUNCTION("""COMPUTED_VALUE"""),0)</f>
        <v>0</v>
      </c>
      <c r="E758" s="76">
        <f ca="1">IFERROR(__xludf.DUMMYFUNCTION("""COMPUTED_VALUE"""),2400)</f>
        <v>2400</v>
      </c>
      <c r="F758" s="77">
        <f ca="1">IFERROR(__xludf.DUMMYFUNCTION("""COMPUTED_VALUE"""),10110033)</f>
        <v>10110033</v>
      </c>
      <c r="G758" s="77" t="str">
        <f t="shared" ca="1" si="2"/>
        <v>si</v>
      </c>
    </row>
    <row r="759" spans="1:7" ht="12.75" x14ac:dyDescent="0.2">
      <c r="A759" s="62">
        <f ca="1">IFERROR(__xludf.DUMMYFUNCTION("""COMPUTED_VALUE"""),10080301)</f>
        <v>10080301</v>
      </c>
      <c r="B759" s="62" t="str">
        <f ca="1">IFERROR(__xludf.DUMMYFUNCTION("""COMPUTED_VALUE"""),"Apple Watch Serie 7 45mm")</f>
        <v>Apple Watch Serie 7 45mm</v>
      </c>
      <c r="C759" s="75">
        <f ca="1">IFERROR(__xludf.DUMMYFUNCTION("""COMPUTED_VALUE"""),2400)</f>
        <v>2400</v>
      </c>
      <c r="D759" s="75">
        <f ca="1">IFERROR(__xludf.DUMMYFUNCTION("""COMPUTED_VALUE"""),0)</f>
        <v>0</v>
      </c>
      <c r="E759" s="76">
        <f ca="1">IFERROR(__xludf.DUMMYFUNCTION("""COMPUTED_VALUE"""),2400)</f>
        <v>2400</v>
      </c>
      <c r="F759" s="77">
        <f ca="1">IFERROR(__xludf.DUMMYFUNCTION("""COMPUTED_VALUE"""),10080301)</f>
        <v>10080301</v>
      </c>
      <c r="G759" s="77" t="str">
        <f t="shared" ca="1" si="2"/>
        <v>si</v>
      </c>
    </row>
    <row r="760" spans="1:7" ht="12.75" x14ac:dyDescent="0.2">
      <c r="A760" s="62">
        <f ca="1">IFERROR(__xludf.DUMMYFUNCTION("""COMPUTED_VALUE"""),10110006)</f>
        <v>10110006</v>
      </c>
      <c r="B760" s="62" t="str">
        <f ca="1">IFERROR(__xludf.DUMMYFUNCTION("""COMPUTED_VALUE"""),"Ipad 12.9 256gb Space Grey ")</f>
        <v xml:space="preserve">Ipad 12.9 256gb Space Grey </v>
      </c>
      <c r="C760" s="75">
        <f ca="1">IFERROR(__xludf.DUMMYFUNCTION("""COMPUTED_VALUE"""),4600)</f>
        <v>4600</v>
      </c>
      <c r="D760" s="75">
        <f ca="1">IFERROR(__xludf.DUMMYFUNCTION("""COMPUTED_VALUE"""),0)</f>
        <v>0</v>
      </c>
      <c r="E760" s="76">
        <f ca="1">IFERROR(__xludf.DUMMYFUNCTION("""COMPUTED_VALUE"""),4600)</f>
        <v>4600</v>
      </c>
      <c r="F760" s="77">
        <f ca="1">IFERROR(__xludf.DUMMYFUNCTION("""COMPUTED_VALUE"""),10110006)</f>
        <v>10110006</v>
      </c>
      <c r="G760" s="77" t="str">
        <f t="shared" ca="1" si="2"/>
        <v>si</v>
      </c>
    </row>
    <row r="761" spans="1:7" ht="12.75" x14ac:dyDescent="0.2">
      <c r="A761" s="62">
        <f ca="1">IFERROR(__xludf.DUMMYFUNCTION("""COMPUTED_VALUE"""),10110038)</f>
        <v>10110038</v>
      </c>
      <c r="B761" s="62" t="str">
        <f ca="1">IFERROR(__xludf.DUMMYFUNCTION("""COMPUTED_VALUE"""),"Ipad 12.9 128gb Space Grey ")</f>
        <v xml:space="preserve">Ipad 12.9 128gb Space Grey </v>
      </c>
      <c r="C761" s="75">
        <f ca="1">IFERROR(__xludf.DUMMYFUNCTION("""COMPUTED_VALUE"""),3800)</f>
        <v>3800</v>
      </c>
      <c r="D761" s="75">
        <f ca="1">IFERROR(__xludf.DUMMYFUNCTION("""COMPUTED_VALUE"""),0)</f>
        <v>0</v>
      </c>
      <c r="E761" s="76">
        <f ca="1">IFERROR(__xludf.DUMMYFUNCTION("""COMPUTED_VALUE"""),3800)</f>
        <v>3800</v>
      </c>
      <c r="F761" s="77">
        <f ca="1">IFERROR(__xludf.DUMMYFUNCTION("""COMPUTED_VALUE"""),10110038)</f>
        <v>10110038</v>
      </c>
      <c r="G761" s="77" t="str">
        <f t="shared" ca="1" si="2"/>
        <v>si</v>
      </c>
    </row>
    <row r="762" spans="1:7" ht="12.75" x14ac:dyDescent="0.2">
      <c r="A762" s="62">
        <f ca="1">IFERROR(__xludf.DUMMYFUNCTION("""COMPUTED_VALUE"""),20180003)</f>
        <v>20180003</v>
      </c>
      <c r="B762" s="62" t="str">
        <f ca="1">IFERROR(__xludf.DUMMYFUNCTION("""COMPUTED_VALUE"""),"Macbook Pro M1 8gb Ram 256 disco")</f>
        <v>Macbook Pro M1 8gb Ram 256 disco</v>
      </c>
      <c r="C762" s="75">
        <f ca="1">IFERROR(__xludf.DUMMYFUNCTION("""COMPUTED_VALUE"""),4600)</f>
        <v>4600</v>
      </c>
      <c r="D762" s="75">
        <f ca="1">IFERROR(__xludf.DUMMYFUNCTION("""COMPUTED_VALUE"""),0)</f>
        <v>0</v>
      </c>
      <c r="E762" s="76">
        <f ca="1">IFERROR(__xludf.DUMMYFUNCTION("""COMPUTED_VALUE"""),4600)</f>
        <v>4600</v>
      </c>
      <c r="F762" s="77">
        <f ca="1">IFERROR(__xludf.DUMMYFUNCTION("""COMPUTED_VALUE"""),20180003)</f>
        <v>20180003</v>
      </c>
      <c r="G762" s="77" t="str">
        <f t="shared" ca="1" si="2"/>
        <v>si</v>
      </c>
    </row>
    <row r="763" spans="1:7" ht="12.75" x14ac:dyDescent="0.2">
      <c r="A763" s="62">
        <f ca="1">IFERROR(__xludf.DUMMYFUNCTION("""COMPUTED_VALUE"""),10110025)</f>
        <v>10110025</v>
      </c>
      <c r="B763" s="62" t="str">
        <f ca="1">IFERROR(__xludf.DUMMYFUNCTION("""COMPUTED_VALUE"""),"Iphone 13 Pro 128gb")</f>
        <v>Iphone 13 Pro 128gb</v>
      </c>
      <c r="C763" s="75">
        <f ca="1">IFERROR(__xludf.DUMMYFUNCTION("""COMPUTED_VALUE"""),5500)</f>
        <v>5500</v>
      </c>
      <c r="D763" s="75">
        <f ca="1">IFERROR(__xludf.DUMMYFUNCTION("""COMPUTED_VALUE"""),0)</f>
        <v>0</v>
      </c>
      <c r="E763" s="76">
        <f ca="1">IFERROR(__xludf.DUMMYFUNCTION("""COMPUTED_VALUE"""),5500)</f>
        <v>5500</v>
      </c>
      <c r="F763" s="77">
        <f ca="1">IFERROR(__xludf.DUMMYFUNCTION("""COMPUTED_VALUE"""),10110025)</f>
        <v>10110025</v>
      </c>
      <c r="G763" s="77" t="str">
        <f t="shared" ca="1" si="2"/>
        <v>si</v>
      </c>
    </row>
    <row r="764" spans="1:7" ht="12.75" x14ac:dyDescent="0.2">
      <c r="A764" s="62">
        <f ca="1">IFERROR(__xludf.DUMMYFUNCTION("""COMPUTED_VALUE"""),10110026)</f>
        <v>10110026</v>
      </c>
      <c r="B764" s="62" t="str">
        <f ca="1">IFERROR(__xludf.DUMMYFUNCTION("""COMPUTED_VALUE"""),"Iphone 13 128GB ")</f>
        <v xml:space="preserve">Iphone 13 128GB </v>
      </c>
      <c r="C764" s="75">
        <f ca="1">IFERROR(__xludf.DUMMYFUNCTION("""COMPUTED_VALUE"""),3300)</f>
        <v>3300</v>
      </c>
      <c r="D764" s="75">
        <f ca="1">IFERROR(__xludf.DUMMYFUNCTION("""COMPUTED_VALUE"""),0)</f>
        <v>0</v>
      </c>
      <c r="E764" s="76">
        <f ca="1">IFERROR(__xludf.DUMMYFUNCTION("""COMPUTED_VALUE"""),3300)</f>
        <v>3300</v>
      </c>
      <c r="F764" s="77">
        <f ca="1">IFERROR(__xludf.DUMMYFUNCTION("""COMPUTED_VALUE"""),10110026)</f>
        <v>10110026</v>
      </c>
      <c r="G764" s="77" t="str">
        <f t="shared" ca="1" si="2"/>
        <v>si</v>
      </c>
    </row>
    <row r="765" spans="1:7" ht="12.75" x14ac:dyDescent="0.2">
      <c r="A765" s="62">
        <f ca="1">IFERROR(__xludf.DUMMYFUNCTION("""COMPUTED_VALUE"""),10110027)</f>
        <v>10110027</v>
      </c>
      <c r="B765" s="62" t="str">
        <f ca="1">IFERROR(__xludf.DUMMYFUNCTION("""COMPUTED_VALUE"""),"Iphone 13 pro max 256gb  ")</f>
        <v xml:space="preserve">Iphone 13 pro max 256gb  </v>
      </c>
      <c r="C765" s="75">
        <f ca="1">IFERROR(__xludf.DUMMYFUNCTION("""COMPUTED_VALUE"""),6000)</f>
        <v>6000</v>
      </c>
      <c r="D765" s="75">
        <f ca="1">IFERROR(__xludf.DUMMYFUNCTION("""COMPUTED_VALUE"""),0)</f>
        <v>0</v>
      </c>
      <c r="E765" s="76">
        <f ca="1">IFERROR(__xludf.DUMMYFUNCTION("""COMPUTED_VALUE"""),6000)</f>
        <v>6000</v>
      </c>
      <c r="F765" s="77">
        <f ca="1">IFERROR(__xludf.DUMMYFUNCTION("""COMPUTED_VALUE"""),10110027)</f>
        <v>10110027</v>
      </c>
      <c r="G765" s="77" t="str">
        <f t="shared" ca="1" si="2"/>
        <v>si</v>
      </c>
    </row>
    <row r="766" spans="1:7" ht="12.75" x14ac:dyDescent="0.2">
      <c r="A766" s="62">
        <f ca="1">IFERROR(__xludf.DUMMYFUNCTION("""COMPUTED_VALUE"""),10110035)</f>
        <v>10110035</v>
      </c>
      <c r="B766" s="62" t="str">
        <f ca="1">IFERROR(__xludf.DUMMYFUNCTION("""COMPUTED_VALUE"""),"Iphone 13 pro max 512gb  ")</f>
        <v xml:space="preserve">Iphone 13 pro max 512gb  </v>
      </c>
      <c r="C766" s="75">
        <f ca="1">IFERROR(__xludf.DUMMYFUNCTION("""COMPUTED_VALUE"""),5900)</f>
        <v>5900</v>
      </c>
      <c r="D766" s="75">
        <f ca="1">IFERROR(__xludf.DUMMYFUNCTION("""COMPUTED_VALUE"""),0)</f>
        <v>0</v>
      </c>
      <c r="E766" s="76">
        <f ca="1">IFERROR(__xludf.DUMMYFUNCTION("""COMPUTED_VALUE"""),5900)</f>
        <v>5900</v>
      </c>
      <c r="F766" s="77">
        <f ca="1">IFERROR(__xludf.DUMMYFUNCTION("""COMPUTED_VALUE"""),10110035)</f>
        <v>10110035</v>
      </c>
      <c r="G766" s="77" t="str">
        <f t="shared" ca="1" si="2"/>
        <v>si</v>
      </c>
    </row>
    <row r="767" spans="1:7" ht="12.75" x14ac:dyDescent="0.2">
      <c r="A767" s="62">
        <f ca="1">IFERROR(__xludf.DUMMYFUNCTION("""COMPUTED_VALUE"""),10110005)</f>
        <v>10110005</v>
      </c>
      <c r="B767" s="62" t="str">
        <f ca="1">IFERROR(__xludf.DUMMYFUNCTION("""COMPUTED_VALUE"""),"Ipad air 2020 64Gb Azul")</f>
        <v>Ipad air 2020 64Gb Azul</v>
      </c>
      <c r="C767" s="75">
        <f ca="1">IFERROR(__xludf.DUMMYFUNCTION("""COMPUTED_VALUE"""),2800)</f>
        <v>2800</v>
      </c>
      <c r="D767" s="75">
        <f ca="1">IFERROR(__xludf.DUMMYFUNCTION("""COMPUTED_VALUE"""),0)</f>
        <v>0</v>
      </c>
      <c r="E767" s="76">
        <f ca="1">IFERROR(__xludf.DUMMYFUNCTION("""COMPUTED_VALUE"""),2800)</f>
        <v>2800</v>
      </c>
      <c r="F767" s="77">
        <f ca="1">IFERROR(__xludf.DUMMYFUNCTION("""COMPUTED_VALUE"""),10110005)</f>
        <v>10110005</v>
      </c>
      <c r="G767" s="77" t="str">
        <f t="shared" ref="G767:G1021" ca="1" si="3">IF(F767=A767,"si","no")</f>
        <v>si</v>
      </c>
    </row>
    <row r="768" spans="1:7" ht="12.75" x14ac:dyDescent="0.2">
      <c r="A768" s="62">
        <f ca="1">IFERROR(__xludf.DUMMYFUNCTION("""COMPUTED_VALUE"""),20170011)</f>
        <v>20170011</v>
      </c>
      <c r="B768" s="62" t="str">
        <f ca="1">IFERROR(__xludf.DUMMYFUNCTION("""COMPUTED_VALUE"""),"Laptop HP pantalla 15 Corei3 10ma M2 256GB RAM 4GB")</f>
        <v>Laptop HP pantalla 15 Corei3 10ma M2 256GB RAM 4GB</v>
      </c>
      <c r="C768" s="75">
        <f ca="1">IFERROR(__xludf.DUMMYFUNCTION("""COMPUTED_VALUE"""),2200)</f>
        <v>2200</v>
      </c>
      <c r="D768" s="75">
        <f ca="1">IFERROR(__xludf.DUMMYFUNCTION("""COMPUTED_VALUE"""),0)</f>
        <v>0</v>
      </c>
      <c r="E768" s="76">
        <f ca="1">IFERROR(__xludf.DUMMYFUNCTION("""COMPUTED_VALUE"""),2200)</f>
        <v>2200</v>
      </c>
      <c r="F768" s="77">
        <f ca="1">IFERROR(__xludf.DUMMYFUNCTION("""COMPUTED_VALUE"""),20170011)</f>
        <v>20170011</v>
      </c>
      <c r="G768" s="77" t="str">
        <f t="shared" ca="1" si="3"/>
        <v>si</v>
      </c>
    </row>
    <row r="769" spans="1:7" ht="12.75" x14ac:dyDescent="0.2">
      <c r="A769" s="62">
        <f ca="1">IFERROR(__xludf.DUMMYFUNCTION("""COMPUTED_VALUE"""),10110001)</f>
        <v>10110001</v>
      </c>
      <c r="B769" s="62" t="str">
        <f ca="1">IFERROR(__xludf.DUMMYFUNCTION("""COMPUTED_VALUE"""),"Apple Watch Serie 5 44mm ")</f>
        <v xml:space="preserve">Apple Watch Serie 5 44mm </v>
      </c>
      <c r="C769" s="75">
        <f ca="1">IFERROR(__xludf.DUMMYFUNCTION("""COMPUTED_VALUE"""),1390)</f>
        <v>1390</v>
      </c>
      <c r="D769" s="75">
        <f ca="1">IFERROR(__xludf.DUMMYFUNCTION("""COMPUTED_VALUE"""),0)</f>
        <v>0</v>
      </c>
      <c r="E769" s="76">
        <f ca="1">IFERROR(__xludf.DUMMYFUNCTION("""COMPUTED_VALUE"""),1390)</f>
        <v>1390</v>
      </c>
      <c r="F769" s="77">
        <f ca="1">IFERROR(__xludf.DUMMYFUNCTION("""COMPUTED_VALUE"""),10110001)</f>
        <v>10110001</v>
      </c>
      <c r="G769" s="77" t="str">
        <f t="shared" ca="1" si="3"/>
        <v>si</v>
      </c>
    </row>
    <row r="770" spans="1:7" ht="12.75" x14ac:dyDescent="0.2">
      <c r="A770" s="62">
        <f ca="1">IFERROR(__xludf.DUMMYFUNCTION("""COMPUTED_VALUE"""),10110002)</f>
        <v>10110002</v>
      </c>
      <c r="B770" s="62" t="str">
        <f ca="1">IFERROR(__xludf.DUMMYFUNCTION("""COMPUTED_VALUE"""),"Apple Watch Serie 6 44mm")</f>
        <v>Apple Watch Serie 6 44mm</v>
      </c>
      <c r="C770" s="75">
        <f ca="1">IFERROR(__xludf.DUMMYFUNCTION("""COMPUTED_VALUE"""),1590)</f>
        <v>1590</v>
      </c>
      <c r="D770" s="75">
        <f ca="1">IFERROR(__xludf.DUMMYFUNCTION("""COMPUTED_VALUE"""),0)</f>
        <v>0</v>
      </c>
      <c r="E770" s="76">
        <f ca="1">IFERROR(__xludf.DUMMYFUNCTION("""COMPUTED_VALUE"""),1590)</f>
        <v>1590</v>
      </c>
      <c r="F770" s="77">
        <f ca="1">IFERROR(__xludf.DUMMYFUNCTION("""COMPUTED_VALUE"""),10110002)</f>
        <v>10110002</v>
      </c>
      <c r="G770" s="77" t="str">
        <f t="shared" ca="1" si="3"/>
        <v>si</v>
      </c>
    </row>
    <row r="771" spans="1:7" ht="12.75" x14ac:dyDescent="0.2">
      <c r="A771" s="62">
        <f ca="1">IFERROR(__xludf.DUMMYFUNCTION("""COMPUTED_VALUE"""),10110028)</f>
        <v>10110028</v>
      </c>
      <c r="B771" s="62" t="str">
        <f ca="1">IFERROR(__xludf.DUMMYFUNCTION("""COMPUTED_VALUE"""),"Ipad Mini 6 64gb ")</f>
        <v xml:space="preserve">Ipad Mini 6 64gb </v>
      </c>
      <c r="C771" s="75">
        <f ca="1">IFERROR(__xludf.DUMMYFUNCTION("""COMPUTED_VALUE"""),1900)</f>
        <v>1900</v>
      </c>
      <c r="D771" s="75">
        <f ca="1">IFERROR(__xludf.DUMMYFUNCTION("""COMPUTED_VALUE"""),0)</f>
        <v>0</v>
      </c>
      <c r="E771" s="76">
        <f ca="1">IFERROR(__xludf.DUMMYFUNCTION("""COMPUTED_VALUE"""),1900)</f>
        <v>1900</v>
      </c>
      <c r="F771" s="77">
        <f ca="1">IFERROR(__xludf.DUMMYFUNCTION("""COMPUTED_VALUE"""),10110028)</f>
        <v>10110028</v>
      </c>
      <c r="G771" s="77" t="str">
        <f t="shared" ca="1" si="3"/>
        <v>si</v>
      </c>
    </row>
    <row r="772" spans="1:7" ht="12.75" x14ac:dyDescent="0.2">
      <c r="A772" s="62">
        <f ca="1">IFERROR(__xludf.DUMMYFUNCTION("""COMPUTED_VALUE"""),10080295)</f>
        <v>10080295</v>
      </c>
      <c r="B772" s="62" t="str">
        <f ca="1">IFERROR(__xludf.DUMMYFUNCTION("""COMPUTED_VALUE"""),"Ipad Pro 11 M1 128gb ")</f>
        <v xml:space="preserve">Ipad Pro 11 M1 128gb </v>
      </c>
      <c r="C772" s="75">
        <f ca="1">IFERROR(__xludf.DUMMYFUNCTION("""COMPUTED_VALUE"""),3300)</f>
        <v>3300</v>
      </c>
      <c r="D772" s="75">
        <f ca="1">IFERROR(__xludf.DUMMYFUNCTION("""COMPUTED_VALUE"""),0)</f>
        <v>0</v>
      </c>
      <c r="E772" s="76">
        <f ca="1">IFERROR(__xludf.DUMMYFUNCTION("""COMPUTED_VALUE"""),3300)</f>
        <v>3300</v>
      </c>
      <c r="F772" s="77">
        <f ca="1">IFERROR(__xludf.DUMMYFUNCTION("""COMPUTED_VALUE"""),10080295)</f>
        <v>10080295</v>
      </c>
      <c r="G772" s="77" t="str">
        <f t="shared" ca="1" si="3"/>
        <v>si</v>
      </c>
    </row>
    <row r="773" spans="1:7" ht="12.75" x14ac:dyDescent="0.2">
      <c r="A773" s="62">
        <f ca="1">IFERROR(__xludf.DUMMYFUNCTION("""COMPUTED_VALUE"""),20170004)</f>
        <v>20170004</v>
      </c>
      <c r="B773" s="62" t="str">
        <f ca="1">IFERROR(__xludf.DUMMYFUNCTION("""COMPUTED_VALUE"""),"Macbook Air M1 8gb Ram 256 disco")</f>
        <v>Macbook Air M1 8gb Ram 256 disco</v>
      </c>
      <c r="C773" s="75">
        <f ca="1">IFERROR(__xludf.DUMMYFUNCTION("""COMPUTED_VALUE"""),4500)</f>
        <v>4500</v>
      </c>
      <c r="D773" s="75">
        <f ca="1">IFERROR(__xludf.DUMMYFUNCTION("""COMPUTED_VALUE"""),0)</f>
        <v>0</v>
      </c>
      <c r="E773" s="76">
        <f ca="1">IFERROR(__xludf.DUMMYFUNCTION("""COMPUTED_VALUE"""),4500)</f>
        <v>4500</v>
      </c>
      <c r="F773" s="77">
        <f ca="1">IFERROR(__xludf.DUMMYFUNCTION("""COMPUTED_VALUE"""),20170004)</f>
        <v>20170004</v>
      </c>
      <c r="G773" s="77" t="str">
        <f t="shared" ca="1" si="3"/>
        <v>si</v>
      </c>
    </row>
    <row r="774" spans="1:7" ht="12.75" x14ac:dyDescent="0.2">
      <c r="A774" s="62">
        <f ca="1">IFERROR(__xludf.DUMMYFUNCTION("""COMPUTED_VALUE"""),20170002)</f>
        <v>20170002</v>
      </c>
      <c r="B774" s="62" t="str">
        <f ca="1">IFERROR(__xludf.DUMMYFUNCTION("""COMPUTED_VALUE"""),"MBP CORE I5 13.3 SG/2.3GHZ QC/8GB/512GB-USA SPACE GREY 2018 (A1989)")</f>
        <v>MBP CORE I5 13.3 SG/2.3GHZ QC/8GB/512GB-USA SPACE GREY 2018 (A1989)</v>
      </c>
      <c r="C774" s="75">
        <f ca="1">IFERROR(__xludf.DUMMYFUNCTION("""COMPUTED_VALUE"""),6000)</f>
        <v>6000</v>
      </c>
      <c r="D774" s="75">
        <f ca="1">IFERROR(__xludf.DUMMYFUNCTION("""COMPUTED_VALUE"""),0)</f>
        <v>0</v>
      </c>
      <c r="E774" s="76">
        <f ca="1">IFERROR(__xludf.DUMMYFUNCTION("""COMPUTED_VALUE"""),6000)</f>
        <v>6000</v>
      </c>
      <c r="F774" s="77">
        <f ca="1">IFERROR(__xludf.DUMMYFUNCTION("""COMPUTED_VALUE"""),20170002)</f>
        <v>20170002</v>
      </c>
      <c r="G774" s="77" t="str">
        <f t="shared" ca="1" si="3"/>
        <v>si</v>
      </c>
    </row>
    <row r="775" spans="1:7" ht="12.75" x14ac:dyDescent="0.2">
      <c r="A775" s="62">
        <f ca="1">IFERROR(__xludf.DUMMYFUNCTION("""COMPUTED_VALUE"""),20170003)</f>
        <v>20170003</v>
      </c>
      <c r="B775" s="62" t="str">
        <f ca="1">IFERROR(__xludf.DUMMYFUNCTION("""COMPUTED_VALUE"""),"MBP CORE I5 13.3 SL/2.3GHZ QC/8GB/256GB-USA GREY 2018 (A1989)")</f>
        <v>MBP CORE I5 13.3 SL/2.3GHZ QC/8GB/256GB-USA GREY 2018 (A1989)</v>
      </c>
      <c r="C775" s="75">
        <f ca="1">IFERROR(__xludf.DUMMYFUNCTION("""COMPUTED_VALUE"""),5600)</f>
        <v>5600</v>
      </c>
      <c r="D775" s="75">
        <f ca="1">IFERROR(__xludf.DUMMYFUNCTION("""COMPUTED_VALUE"""),0)</f>
        <v>0</v>
      </c>
      <c r="E775" s="76">
        <f ca="1">IFERROR(__xludf.DUMMYFUNCTION("""COMPUTED_VALUE"""),5600)</f>
        <v>5600</v>
      </c>
      <c r="F775" s="77">
        <f ca="1">IFERROR(__xludf.DUMMYFUNCTION("""COMPUTED_VALUE"""),20170003)</f>
        <v>20170003</v>
      </c>
      <c r="G775" s="77" t="str">
        <f t="shared" ca="1" si="3"/>
        <v>si</v>
      </c>
    </row>
    <row r="776" spans="1:7" ht="12.75" x14ac:dyDescent="0.2">
      <c r="A776" s="62">
        <f ca="1">IFERROR(__xludf.DUMMYFUNCTION("""COMPUTED_VALUE"""),20170001)</f>
        <v>20170001</v>
      </c>
      <c r="B776" s="62" t="str">
        <f ca="1">IFERROR(__xludf.DUMMYFUNCTION("""COMPUTED_VALUE"""),"MBP CORE I5  13.3 SG/1.4GHZ QC/8GB/512GB-USA SPACE GREY 2020 (A2289)")</f>
        <v>MBP CORE I5  13.3 SG/1.4GHZ QC/8GB/512GB-USA SPACE GREY 2020 (A2289)</v>
      </c>
      <c r="C776" s="75">
        <f ca="1">IFERROR(__xludf.DUMMYFUNCTION("""COMPUTED_VALUE"""),6000)</f>
        <v>6000</v>
      </c>
      <c r="D776" s="75">
        <f ca="1">IFERROR(__xludf.DUMMYFUNCTION("""COMPUTED_VALUE"""),0)</f>
        <v>0</v>
      </c>
      <c r="E776" s="76">
        <f ca="1">IFERROR(__xludf.DUMMYFUNCTION("""COMPUTED_VALUE"""),6000)</f>
        <v>6000</v>
      </c>
      <c r="F776" s="77">
        <f ca="1">IFERROR(__xludf.DUMMYFUNCTION("""COMPUTED_VALUE"""),20170001)</f>
        <v>20170001</v>
      </c>
      <c r="G776" s="77" t="str">
        <f t="shared" ca="1" si="3"/>
        <v>si</v>
      </c>
    </row>
    <row r="777" spans="1:7" ht="12.75" x14ac:dyDescent="0.2">
      <c r="A777" s="62">
        <f ca="1">IFERROR(__xludf.DUMMYFUNCTION("""COMPUTED_VALUE"""),10160002)</f>
        <v>10160002</v>
      </c>
      <c r="B777" s="62" t="str">
        <f ca="1">IFERROR(__xludf.DUMMYFUNCTION("""COMPUTED_VALUE"""),"Cover 6p")</f>
        <v>Cover 6p</v>
      </c>
      <c r="C777" s="75">
        <f ca="1">IFERROR(__xludf.DUMMYFUNCTION("""COMPUTED_VALUE"""),80)</f>
        <v>80</v>
      </c>
      <c r="D777" s="75">
        <f ca="1">IFERROR(__xludf.DUMMYFUNCTION("""COMPUTED_VALUE"""),50)</f>
        <v>50</v>
      </c>
      <c r="E777" s="76">
        <f ca="1">IFERROR(__xludf.DUMMYFUNCTION("""COMPUTED_VALUE"""),130)</f>
        <v>130</v>
      </c>
      <c r="F777" s="77">
        <f ca="1">IFERROR(__xludf.DUMMYFUNCTION("""COMPUTED_VALUE"""),10160002)</f>
        <v>10160002</v>
      </c>
      <c r="G777" s="77" t="str">
        <f t="shared" ca="1" si="3"/>
        <v>si</v>
      </c>
    </row>
    <row r="778" spans="1:7" ht="12.75" x14ac:dyDescent="0.2">
      <c r="A778" s="62">
        <f ca="1">IFERROR(__xludf.DUMMYFUNCTION("""COMPUTED_VALUE"""),10160003)</f>
        <v>10160003</v>
      </c>
      <c r="B778" s="62" t="str">
        <f ca="1">IFERROR(__xludf.DUMMYFUNCTION("""COMPUTED_VALUE"""),"Cover 6s")</f>
        <v>Cover 6s</v>
      </c>
      <c r="C778" s="75">
        <f ca="1">IFERROR(__xludf.DUMMYFUNCTION("""COMPUTED_VALUE"""),80)</f>
        <v>80</v>
      </c>
      <c r="D778" s="75">
        <f ca="1">IFERROR(__xludf.DUMMYFUNCTION("""COMPUTED_VALUE"""),50)</f>
        <v>50</v>
      </c>
      <c r="E778" s="76">
        <f ca="1">IFERROR(__xludf.DUMMYFUNCTION("""COMPUTED_VALUE"""),130)</f>
        <v>130</v>
      </c>
      <c r="F778" s="77">
        <f ca="1">IFERROR(__xludf.DUMMYFUNCTION("""COMPUTED_VALUE"""),10160003)</f>
        <v>10160003</v>
      </c>
      <c r="G778" s="77" t="str">
        <f t="shared" ca="1" si="3"/>
        <v>si</v>
      </c>
    </row>
    <row r="779" spans="1:7" ht="12.75" x14ac:dyDescent="0.2">
      <c r="A779" s="62">
        <f ca="1">IFERROR(__xludf.DUMMYFUNCTION("""COMPUTED_VALUE"""),10160004)</f>
        <v>10160004</v>
      </c>
      <c r="B779" s="62" t="str">
        <f ca="1">IFERROR(__xludf.DUMMYFUNCTION("""COMPUTED_VALUE"""),"Cover 6sp")</f>
        <v>Cover 6sp</v>
      </c>
      <c r="C779" s="75">
        <f ca="1">IFERROR(__xludf.DUMMYFUNCTION("""COMPUTED_VALUE"""),80)</f>
        <v>80</v>
      </c>
      <c r="D779" s="75">
        <f ca="1">IFERROR(__xludf.DUMMYFUNCTION("""COMPUTED_VALUE"""),50)</f>
        <v>50</v>
      </c>
      <c r="E779" s="76">
        <f ca="1">IFERROR(__xludf.DUMMYFUNCTION("""COMPUTED_VALUE"""),130)</f>
        <v>130</v>
      </c>
      <c r="F779" s="77">
        <f ca="1">IFERROR(__xludf.DUMMYFUNCTION("""COMPUTED_VALUE"""),10160004)</f>
        <v>10160004</v>
      </c>
      <c r="G779" s="77" t="str">
        <f t="shared" ca="1" si="3"/>
        <v>si</v>
      </c>
    </row>
    <row r="780" spans="1:7" ht="12.75" x14ac:dyDescent="0.2">
      <c r="A780" s="62">
        <f ca="1">IFERROR(__xludf.DUMMYFUNCTION("""COMPUTED_VALUE"""),10160005)</f>
        <v>10160005</v>
      </c>
      <c r="B780" s="62" t="str">
        <f ca="1">IFERROR(__xludf.DUMMYFUNCTION("""COMPUTED_VALUE"""),"Cover 7g")</f>
        <v>Cover 7g</v>
      </c>
      <c r="C780" s="75">
        <f ca="1">IFERROR(__xludf.DUMMYFUNCTION("""COMPUTED_VALUE"""),80)</f>
        <v>80</v>
      </c>
      <c r="D780" s="75">
        <f ca="1">IFERROR(__xludf.DUMMYFUNCTION("""COMPUTED_VALUE"""),50)</f>
        <v>50</v>
      </c>
      <c r="E780" s="76">
        <f ca="1">IFERROR(__xludf.DUMMYFUNCTION("""COMPUTED_VALUE"""),130)</f>
        <v>130</v>
      </c>
      <c r="F780" s="77">
        <f ca="1">IFERROR(__xludf.DUMMYFUNCTION("""COMPUTED_VALUE"""),10160005)</f>
        <v>10160005</v>
      </c>
      <c r="G780" s="77" t="str">
        <f t="shared" ca="1" si="3"/>
        <v>si</v>
      </c>
    </row>
    <row r="781" spans="1:7" ht="12.75" x14ac:dyDescent="0.2">
      <c r="A781" s="62">
        <f ca="1">IFERROR(__xludf.DUMMYFUNCTION("""COMPUTED_VALUE"""),10160006)</f>
        <v>10160006</v>
      </c>
      <c r="B781" s="62" t="str">
        <f ca="1">IFERROR(__xludf.DUMMYFUNCTION("""COMPUTED_VALUE"""),"Cover 7p")</f>
        <v>Cover 7p</v>
      </c>
      <c r="C781" s="75">
        <f ca="1">IFERROR(__xludf.DUMMYFUNCTION("""COMPUTED_VALUE"""),90)</f>
        <v>90</v>
      </c>
      <c r="D781" s="75">
        <f ca="1">IFERROR(__xludf.DUMMYFUNCTION("""COMPUTED_VALUE"""),50)</f>
        <v>50</v>
      </c>
      <c r="E781" s="76">
        <f ca="1">IFERROR(__xludf.DUMMYFUNCTION("""COMPUTED_VALUE"""),140)</f>
        <v>140</v>
      </c>
      <c r="F781" s="77">
        <f ca="1">IFERROR(__xludf.DUMMYFUNCTION("""COMPUTED_VALUE"""),10160006)</f>
        <v>10160006</v>
      </c>
      <c r="G781" s="77" t="str">
        <f t="shared" ca="1" si="3"/>
        <v>si</v>
      </c>
    </row>
    <row r="782" spans="1:7" ht="12.75" x14ac:dyDescent="0.2">
      <c r="A782" s="62">
        <f ca="1">IFERROR(__xludf.DUMMYFUNCTION("""COMPUTED_VALUE"""),10040051)</f>
        <v>10040051</v>
      </c>
      <c r="B782" s="62" t="str">
        <f ca="1">IFERROR(__xludf.DUMMYFUNCTION("""COMPUTED_VALUE"""),"Cover Iphone 12")</f>
        <v>Cover Iphone 12</v>
      </c>
      <c r="C782" s="75">
        <f ca="1">IFERROR(__xludf.DUMMYFUNCTION("""COMPUTED_VALUE"""),400)</f>
        <v>400</v>
      </c>
      <c r="D782" s="75">
        <f ca="1">IFERROR(__xludf.DUMMYFUNCTION("""COMPUTED_VALUE"""),100)</f>
        <v>100</v>
      </c>
      <c r="E782" s="76">
        <f ca="1">IFERROR(__xludf.DUMMYFUNCTION("""COMPUTED_VALUE"""),500)</f>
        <v>500</v>
      </c>
      <c r="F782" s="77">
        <f ca="1">IFERROR(__xludf.DUMMYFUNCTION("""COMPUTED_VALUE"""),10040051)</f>
        <v>10040051</v>
      </c>
      <c r="G782" s="77" t="str">
        <f t="shared" ca="1" si="3"/>
        <v>si</v>
      </c>
    </row>
    <row r="783" spans="1:7" ht="12.75" x14ac:dyDescent="0.2">
      <c r="A783" s="62">
        <f ca="1">IFERROR(__xludf.DUMMYFUNCTION("""COMPUTED_VALUE"""),10040052)</f>
        <v>10040052</v>
      </c>
      <c r="B783" s="62" t="str">
        <f ca="1">IFERROR(__xludf.DUMMYFUNCTION("""COMPUTED_VALUE"""),"Cover Iphone 12 Pro")</f>
        <v>Cover Iphone 12 Pro</v>
      </c>
      <c r="C783" s="75">
        <f ca="1">IFERROR(__xludf.DUMMYFUNCTION("""COMPUTED_VALUE"""),450)</f>
        <v>450</v>
      </c>
      <c r="D783" s="75">
        <f ca="1">IFERROR(__xludf.DUMMYFUNCTION("""COMPUTED_VALUE"""),100)</f>
        <v>100</v>
      </c>
      <c r="E783" s="76">
        <f ca="1">IFERROR(__xludf.DUMMYFUNCTION("""COMPUTED_VALUE"""),550)</f>
        <v>550</v>
      </c>
      <c r="F783" s="77">
        <f ca="1">IFERROR(__xludf.DUMMYFUNCTION("""COMPUTED_VALUE"""),10040052)</f>
        <v>10040052</v>
      </c>
      <c r="G783" s="77" t="str">
        <f t="shared" ca="1" si="3"/>
        <v>si</v>
      </c>
    </row>
    <row r="784" spans="1:7" ht="12.75" x14ac:dyDescent="0.2">
      <c r="A784" s="62">
        <f ca="1">IFERROR(__xludf.DUMMYFUNCTION("""COMPUTED_VALUE"""),10040053)</f>
        <v>10040053</v>
      </c>
      <c r="B784" s="62" t="str">
        <f ca="1">IFERROR(__xludf.DUMMYFUNCTION("""COMPUTED_VALUE"""),"Cover Iphone 12 Pro Max")</f>
        <v>Cover Iphone 12 Pro Max</v>
      </c>
      <c r="C784" s="75">
        <f ca="1">IFERROR(__xludf.DUMMYFUNCTION("""COMPUTED_VALUE"""),500)</f>
        <v>500</v>
      </c>
      <c r="D784" s="75">
        <f ca="1">IFERROR(__xludf.DUMMYFUNCTION("""COMPUTED_VALUE"""),100)</f>
        <v>100</v>
      </c>
      <c r="E784" s="76">
        <f ca="1">IFERROR(__xludf.DUMMYFUNCTION("""COMPUTED_VALUE"""),600)</f>
        <v>600</v>
      </c>
      <c r="F784" s="77">
        <f ca="1">IFERROR(__xludf.DUMMYFUNCTION("""COMPUTED_VALUE"""),10040053)</f>
        <v>10040053</v>
      </c>
      <c r="G784" s="77" t="str">
        <f t="shared" ca="1" si="3"/>
        <v>si</v>
      </c>
    </row>
    <row r="785" spans="1:7" ht="12.75" x14ac:dyDescent="0.2">
      <c r="A785" s="62">
        <f ca="1">IFERROR(__xludf.DUMMYFUNCTION("""COMPUTED_VALUE"""),10040005)</f>
        <v>10040005</v>
      </c>
      <c r="B785" s="62" t="str">
        <f ca="1">IFERROR(__xludf.DUMMYFUNCTION("""COMPUTED_VALUE"""),"Cover 8Plus")</f>
        <v>Cover 8Plus</v>
      </c>
      <c r="C785" s="75">
        <f ca="1">IFERROR(__xludf.DUMMYFUNCTION("""COMPUTED_VALUE"""),190)</f>
        <v>190</v>
      </c>
      <c r="D785" s="75">
        <f ca="1">IFERROR(__xludf.DUMMYFUNCTION("""COMPUTED_VALUE"""),50)</f>
        <v>50</v>
      </c>
      <c r="E785" s="76">
        <f ca="1">IFERROR(__xludf.DUMMYFUNCTION("""COMPUTED_VALUE"""),240)</f>
        <v>240</v>
      </c>
      <c r="F785" s="77">
        <f ca="1">IFERROR(__xludf.DUMMYFUNCTION("""COMPUTED_VALUE"""),10040005)</f>
        <v>10040005</v>
      </c>
      <c r="G785" s="77" t="str">
        <f t="shared" ca="1" si="3"/>
        <v>si</v>
      </c>
    </row>
    <row r="786" spans="1:7" ht="12.75" x14ac:dyDescent="0.2">
      <c r="A786" s="62">
        <f ca="1">IFERROR(__xludf.DUMMYFUNCTION("""COMPUTED_VALUE"""),10040004)</f>
        <v>10040004</v>
      </c>
      <c r="B786" s="62" t="str">
        <f ca="1">IFERROR(__xludf.DUMMYFUNCTION("""COMPUTED_VALUE"""),"Cover 8G")</f>
        <v>Cover 8G</v>
      </c>
      <c r="C786" s="75">
        <f ca="1">IFERROR(__xludf.DUMMYFUNCTION("""COMPUTED_VALUE"""),180)</f>
        <v>180</v>
      </c>
      <c r="D786" s="75">
        <f ca="1">IFERROR(__xludf.DUMMYFUNCTION("""COMPUTED_VALUE"""),50)</f>
        <v>50</v>
      </c>
      <c r="E786" s="76">
        <f ca="1">IFERROR(__xludf.DUMMYFUNCTION("""COMPUTED_VALUE"""),230)</f>
        <v>230</v>
      </c>
      <c r="F786" s="77">
        <f ca="1">IFERROR(__xludf.DUMMYFUNCTION("""COMPUTED_VALUE"""),10040004)</f>
        <v>10040004</v>
      </c>
      <c r="G786" s="77" t="str">
        <f t="shared" ca="1" si="3"/>
        <v>si</v>
      </c>
    </row>
    <row r="787" spans="1:7" ht="12.75" x14ac:dyDescent="0.2">
      <c r="A787" s="62">
        <f ca="1">IFERROR(__xludf.DUMMYFUNCTION("""COMPUTED_VALUE"""),10040006)</f>
        <v>10040006</v>
      </c>
      <c r="B787" s="62" t="str">
        <f ca="1">IFERROR(__xludf.DUMMYFUNCTION("""COMPUTED_VALUE"""),"Cover X")</f>
        <v>Cover X</v>
      </c>
      <c r="C787" s="75">
        <f ca="1">IFERROR(__xludf.DUMMYFUNCTION("""COMPUTED_VALUE"""),200)</f>
        <v>200</v>
      </c>
      <c r="D787" s="75">
        <f ca="1">IFERROR(__xludf.DUMMYFUNCTION("""COMPUTED_VALUE"""),50)</f>
        <v>50</v>
      </c>
      <c r="E787" s="76">
        <f ca="1">IFERROR(__xludf.DUMMYFUNCTION("""COMPUTED_VALUE"""),250)</f>
        <v>250</v>
      </c>
      <c r="F787" s="77">
        <f ca="1">IFERROR(__xludf.DUMMYFUNCTION("""COMPUTED_VALUE"""),10040006)</f>
        <v>10040006</v>
      </c>
      <c r="G787" s="77" t="str">
        <f t="shared" ca="1" si="3"/>
        <v>si</v>
      </c>
    </row>
    <row r="788" spans="1:7" ht="12.75" x14ac:dyDescent="0.2">
      <c r="A788" s="62">
        <f ca="1">IFERROR(__xludf.DUMMYFUNCTION("""COMPUTED_VALUE"""),10040008)</f>
        <v>10040008</v>
      </c>
      <c r="B788" s="62" t="str">
        <f ca="1">IFERROR(__xludf.DUMMYFUNCTION("""COMPUTED_VALUE"""),"Cover Xs")</f>
        <v>Cover Xs</v>
      </c>
      <c r="C788" s="75">
        <f ca="1">IFERROR(__xludf.DUMMYFUNCTION("""COMPUTED_VALUE"""),240)</f>
        <v>240</v>
      </c>
      <c r="D788" s="75">
        <f ca="1">IFERROR(__xludf.DUMMYFUNCTION("""COMPUTED_VALUE"""),50)</f>
        <v>50</v>
      </c>
      <c r="E788" s="76">
        <f ca="1">IFERROR(__xludf.DUMMYFUNCTION("""COMPUTED_VALUE"""),290)</f>
        <v>290</v>
      </c>
      <c r="F788" s="77">
        <f ca="1">IFERROR(__xludf.DUMMYFUNCTION("""COMPUTED_VALUE"""),10040008)</f>
        <v>10040008</v>
      </c>
      <c r="G788" s="77" t="str">
        <f t="shared" ca="1" si="3"/>
        <v>si</v>
      </c>
    </row>
    <row r="789" spans="1:7" ht="12.75" x14ac:dyDescent="0.2">
      <c r="A789" s="62">
        <f ca="1">IFERROR(__xludf.DUMMYFUNCTION("""COMPUTED_VALUE"""),10040007)</f>
        <v>10040007</v>
      </c>
      <c r="B789" s="62" t="str">
        <f ca="1">IFERROR(__xludf.DUMMYFUNCTION("""COMPUTED_VALUE"""),"Cover Xr")</f>
        <v>Cover Xr</v>
      </c>
      <c r="C789" s="75">
        <f ca="1">IFERROR(__xludf.DUMMYFUNCTION("""COMPUTED_VALUE"""),240)</f>
        <v>240</v>
      </c>
      <c r="D789" s="75">
        <f ca="1">IFERROR(__xludf.DUMMYFUNCTION("""COMPUTED_VALUE"""),50)</f>
        <v>50</v>
      </c>
      <c r="E789" s="76">
        <f ca="1">IFERROR(__xludf.DUMMYFUNCTION("""COMPUTED_VALUE"""),290)</f>
        <v>290</v>
      </c>
      <c r="F789" s="77">
        <f ca="1">IFERROR(__xludf.DUMMYFUNCTION("""COMPUTED_VALUE"""),10040007)</f>
        <v>10040007</v>
      </c>
      <c r="G789" s="77" t="str">
        <f t="shared" ca="1" si="3"/>
        <v>si</v>
      </c>
    </row>
    <row r="790" spans="1:7" ht="12.75" x14ac:dyDescent="0.2">
      <c r="A790" s="62">
        <f ca="1">IFERROR(__xludf.DUMMYFUNCTION("""COMPUTED_VALUE"""),10040009)</f>
        <v>10040009</v>
      </c>
      <c r="B790" s="62" t="str">
        <f ca="1">IFERROR(__xludf.DUMMYFUNCTION("""COMPUTED_VALUE"""),"Cover Xs Max")</f>
        <v>Cover Xs Max</v>
      </c>
      <c r="C790" s="75">
        <f ca="1">IFERROR(__xludf.DUMMYFUNCTION("""COMPUTED_VALUE"""),290)</f>
        <v>290</v>
      </c>
      <c r="D790" s="75">
        <f ca="1">IFERROR(__xludf.DUMMYFUNCTION("""COMPUTED_VALUE"""),50)</f>
        <v>50</v>
      </c>
      <c r="E790" s="76">
        <f ca="1">IFERROR(__xludf.DUMMYFUNCTION("""COMPUTED_VALUE"""),340)</f>
        <v>340</v>
      </c>
      <c r="F790" s="77">
        <f ca="1">IFERROR(__xludf.DUMMYFUNCTION("""COMPUTED_VALUE"""),10040009)</f>
        <v>10040009</v>
      </c>
      <c r="G790" s="77" t="str">
        <f t="shared" ca="1" si="3"/>
        <v>si</v>
      </c>
    </row>
    <row r="791" spans="1:7" ht="12.75" x14ac:dyDescent="0.2">
      <c r="A791" s="62">
        <f ca="1">IFERROR(__xludf.DUMMYFUNCTION("""COMPUTED_VALUE"""),10040001)</f>
        <v>10040001</v>
      </c>
      <c r="B791" s="62" t="str">
        <f ca="1">IFERROR(__xludf.DUMMYFUNCTION("""COMPUTED_VALUE"""),"Cover 11")</f>
        <v>Cover 11</v>
      </c>
      <c r="C791" s="75">
        <f ca="1">IFERROR(__xludf.DUMMYFUNCTION("""COMPUTED_VALUE"""),310)</f>
        <v>310</v>
      </c>
      <c r="D791" s="75">
        <f ca="1">IFERROR(__xludf.DUMMYFUNCTION("""COMPUTED_VALUE"""),50)</f>
        <v>50</v>
      </c>
      <c r="E791" s="76">
        <f ca="1">IFERROR(__xludf.DUMMYFUNCTION("""COMPUTED_VALUE"""),360)</f>
        <v>360</v>
      </c>
      <c r="F791" s="77">
        <f ca="1">IFERROR(__xludf.DUMMYFUNCTION("""COMPUTED_VALUE"""),10040001)</f>
        <v>10040001</v>
      </c>
      <c r="G791" s="77" t="str">
        <f t="shared" ca="1" si="3"/>
        <v>si</v>
      </c>
    </row>
    <row r="792" spans="1:7" ht="12.75" x14ac:dyDescent="0.2">
      <c r="A792" s="62">
        <f ca="1">IFERROR(__xludf.DUMMYFUNCTION("""COMPUTED_VALUE"""),10040002)</f>
        <v>10040002</v>
      </c>
      <c r="B792" s="62" t="str">
        <f ca="1">IFERROR(__xludf.DUMMYFUNCTION("""COMPUTED_VALUE"""),"Cover 11PRO")</f>
        <v>Cover 11PRO</v>
      </c>
      <c r="C792" s="75">
        <f ca="1">IFERROR(__xludf.DUMMYFUNCTION("""COMPUTED_VALUE"""),350)</f>
        <v>350</v>
      </c>
      <c r="D792" s="75">
        <f ca="1">IFERROR(__xludf.DUMMYFUNCTION("""COMPUTED_VALUE"""),50)</f>
        <v>50</v>
      </c>
      <c r="E792" s="76">
        <f ca="1">IFERROR(__xludf.DUMMYFUNCTION("""COMPUTED_VALUE"""),400)</f>
        <v>400</v>
      </c>
      <c r="F792" s="77">
        <f ca="1">IFERROR(__xludf.DUMMYFUNCTION("""COMPUTED_VALUE"""),10040002)</f>
        <v>10040002</v>
      </c>
      <c r="G792" s="77" t="str">
        <f t="shared" ca="1" si="3"/>
        <v>si</v>
      </c>
    </row>
    <row r="793" spans="1:7" ht="12.75" x14ac:dyDescent="0.2">
      <c r="A793" s="62">
        <f ca="1">IFERROR(__xludf.DUMMYFUNCTION("""COMPUTED_VALUE"""),10160334)</f>
        <v>10160334</v>
      </c>
      <c r="B793" s="62" t="str">
        <f ca="1">IFERROR(__xludf.DUMMYFUNCTION("""COMPUTED_VALUE"""),"Cover 13 Mini")</f>
        <v>Cover 13 Mini</v>
      </c>
      <c r="C793" s="75">
        <f ca="1">IFERROR(__xludf.DUMMYFUNCTION("""COMPUTED_VALUE"""),350)</f>
        <v>350</v>
      </c>
      <c r="D793" s="75">
        <f ca="1">IFERROR(__xludf.DUMMYFUNCTION("""COMPUTED_VALUE"""),50)</f>
        <v>50</v>
      </c>
      <c r="E793" s="76">
        <f ca="1">IFERROR(__xludf.DUMMYFUNCTION("""COMPUTED_VALUE"""),400)</f>
        <v>400</v>
      </c>
      <c r="F793" s="77">
        <f ca="1">IFERROR(__xludf.DUMMYFUNCTION("""COMPUTED_VALUE"""),10160334)</f>
        <v>10160334</v>
      </c>
      <c r="G793" s="77" t="str">
        <f t="shared" ca="1" si="3"/>
        <v>si</v>
      </c>
    </row>
    <row r="794" spans="1:7" ht="12.75" x14ac:dyDescent="0.2">
      <c r="A794" s="62">
        <f ca="1">IFERROR(__xludf.DUMMYFUNCTION("""COMPUTED_VALUE"""),10040003)</f>
        <v>10040003</v>
      </c>
      <c r="B794" s="62" t="str">
        <f ca="1">IFERROR(__xludf.DUMMYFUNCTION("""COMPUTED_VALUE"""),"Cover 11Pro max")</f>
        <v>Cover 11Pro max</v>
      </c>
      <c r="C794" s="75">
        <f ca="1">IFERROR(__xludf.DUMMYFUNCTION("""COMPUTED_VALUE"""),350)</f>
        <v>350</v>
      </c>
      <c r="D794" s="75">
        <f ca="1">IFERROR(__xludf.DUMMYFUNCTION("""COMPUTED_VALUE"""),50)</f>
        <v>50</v>
      </c>
      <c r="E794" s="76">
        <f ca="1">IFERROR(__xludf.DUMMYFUNCTION("""COMPUTED_VALUE"""),400)</f>
        <v>400</v>
      </c>
      <c r="F794" s="77">
        <f ca="1">IFERROR(__xludf.DUMMYFUNCTION("""COMPUTED_VALUE"""),10040003)</f>
        <v>10040003</v>
      </c>
      <c r="G794" s="77" t="str">
        <f t="shared" ca="1" si="3"/>
        <v>si</v>
      </c>
    </row>
    <row r="795" spans="1:7" ht="12.75" x14ac:dyDescent="0.2">
      <c r="A795" s="62">
        <f ca="1">IFERROR(__xludf.DUMMYFUNCTION("""COMPUTED_VALUE"""),20140083)</f>
        <v>20140083</v>
      </c>
      <c r="B795" s="62" t="str">
        <f ca="1">IFERROR(__xludf.DUMMYFUNCTION("""COMPUTED_VALUE"""),"Teclado Apple A1465 Español")</f>
        <v>Teclado Apple A1465 Español</v>
      </c>
      <c r="C795" s="75">
        <f ca="1">IFERROR(__xludf.DUMMYFUNCTION("""COMPUTED_VALUE"""),110)</f>
        <v>110</v>
      </c>
      <c r="D795" s="75">
        <f ca="1">IFERROR(__xludf.DUMMYFUNCTION("""COMPUTED_VALUE"""),100)</f>
        <v>100</v>
      </c>
      <c r="E795" s="76">
        <f ca="1">IFERROR(__xludf.DUMMYFUNCTION("""COMPUTED_VALUE"""),210)</f>
        <v>210</v>
      </c>
      <c r="F795" s="77">
        <f ca="1">IFERROR(__xludf.DUMMYFUNCTION("""COMPUTED_VALUE"""),20140083)</f>
        <v>20140083</v>
      </c>
      <c r="G795" s="77" t="str">
        <f t="shared" ca="1" si="3"/>
        <v>si</v>
      </c>
    </row>
    <row r="796" spans="1:7" ht="12.75" x14ac:dyDescent="0.2">
      <c r="A796" s="62">
        <f ca="1">IFERROR(__xludf.DUMMYFUNCTION("""COMPUTED_VALUE"""),20140075)</f>
        <v>20140075</v>
      </c>
      <c r="B796" s="62" t="str">
        <f ca="1">IFERROR(__xludf.DUMMYFUNCTION("""COMPUTED_VALUE"""),"Teclado Apple A1369 / A1466 / A1405 Año 2010 Español")</f>
        <v>Teclado Apple A1369 / A1466 / A1405 Año 2010 Español</v>
      </c>
      <c r="C796" s="75">
        <f ca="1">IFERROR(__xludf.DUMMYFUNCTION("""COMPUTED_VALUE"""),110)</f>
        <v>110</v>
      </c>
      <c r="D796" s="75">
        <f ca="1">IFERROR(__xludf.DUMMYFUNCTION("""COMPUTED_VALUE"""),100)</f>
        <v>100</v>
      </c>
      <c r="E796" s="76">
        <f ca="1">IFERROR(__xludf.DUMMYFUNCTION("""COMPUTED_VALUE"""),210)</f>
        <v>210</v>
      </c>
      <c r="F796" s="77">
        <f ca="1">IFERROR(__xludf.DUMMYFUNCTION("""COMPUTED_VALUE"""),20140075)</f>
        <v>20140075</v>
      </c>
      <c r="G796" s="77" t="str">
        <f t="shared" ca="1" si="3"/>
        <v>si</v>
      </c>
    </row>
    <row r="797" spans="1:7" ht="12.75" x14ac:dyDescent="0.2">
      <c r="A797" s="62">
        <f ca="1">IFERROR(__xludf.DUMMYFUNCTION("""COMPUTED_VALUE"""),20140077)</f>
        <v>20140077</v>
      </c>
      <c r="B797" s="62" t="str">
        <f ca="1">IFERROR(__xludf.DUMMYFUNCTION("""COMPUTED_VALUE"""),"Teclado Apple A1370 / año 2010 Español")</f>
        <v>Teclado Apple A1370 / año 2010 Español</v>
      </c>
      <c r="C797" s="75">
        <f ca="1">IFERROR(__xludf.DUMMYFUNCTION("""COMPUTED_VALUE"""),110)</f>
        <v>110</v>
      </c>
      <c r="D797" s="75">
        <f ca="1">IFERROR(__xludf.DUMMYFUNCTION("""COMPUTED_VALUE"""),100)</f>
        <v>100</v>
      </c>
      <c r="E797" s="76">
        <f ca="1">IFERROR(__xludf.DUMMYFUNCTION("""COMPUTED_VALUE"""),210)</f>
        <v>210</v>
      </c>
      <c r="F797" s="77">
        <f ca="1">IFERROR(__xludf.DUMMYFUNCTION("""COMPUTED_VALUE"""),20140077)</f>
        <v>20140077</v>
      </c>
      <c r="G797" s="77" t="str">
        <f t="shared" ca="1" si="3"/>
        <v>si</v>
      </c>
    </row>
    <row r="798" spans="1:7" ht="12.75" x14ac:dyDescent="0.2">
      <c r="A798" s="62">
        <f ca="1">IFERROR(__xludf.DUMMYFUNCTION("""COMPUTED_VALUE"""),20140073)</f>
        <v>20140073</v>
      </c>
      <c r="B798" s="62" t="str">
        <f ca="1">IFERROR(__xludf.DUMMYFUNCTION("""COMPUTED_VALUE"""),"Teclado Apple A1322 / A1278 Español")</f>
        <v>Teclado Apple A1322 / A1278 Español</v>
      </c>
      <c r="C798" s="75">
        <f ca="1">IFERROR(__xludf.DUMMYFUNCTION("""COMPUTED_VALUE"""),110)</f>
        <v>110</v>
      </c>
      <c r="D798" s="75">
        <f ca="1">IFERROR(__xludf.DUMMYFUNCTION("""COMPUTED_VALUE"""),100)</f>
        <v>100</v>
      </c>
      <c r="E798" s="76">
        <f ca="1">IFERROR(__xludf.DUMMYFUNCTION("""COMPUTED_VALUE"""),210)</f>
        <v>210</v>
      </c>
      <c r="F798" s="77">
        <f ca="1">IFERROR(__xludf.DUMMYFUNCTION("""COMPUTED_VALUE"""),20140073)</f>
        <v>20140073</v>
      </c>
      <c r="G798" s="77" t="str">
        <f t="shared" ca="1" si="3"/>
        <v>si</v>
      </c>
    </row>
    <row r="799" spans="1:7" ht="12.75" x14ac:dyDescent="0.2">
      <c r="A799" s="62">
        <f ca="1">IFERROR(__xludf.DUMMYFUNCTION("""COMPUTED_VALUE"""),20140081)</f>
        <v>20140081</v>
      </c>
      <c r="B799" s="62" t="str">
        <f ca="1">IFERROR(__xludf.DUMMYFUNCTION("""COMPUTED_VALUE"""),"Teclado Apple A1425 Español")</f>
        <v>Teclado Apple A1425 Español</v>
      </c>
      <c r="C799" s="75">
        <f ca="1">IFERROR(__xludf.DUMMYFUNCTION("""COMPUTED_VALUE"""),110)</f>
        <v>110</v>
      </c>
      <c r="D799" s="75">
        <f ca="1">IFERROR(__xludf.DUMMYFUNCTION("""COMPUTED_VALUE"""),100)</f>
        <v>100</v>
      </c>
      <c r="E799" s="76">
        <f ca="1">IFERROR(__xludf.DUMMYFUNCTION("""COMPUTED_VALUE"""),210)</f>
        <v>210</v>
      </c>
      <c r="F799" s="77">
        <f ca="1">IFERROR(__xludf.DUMMYFUNCTION("""COMPUTED_VALUE"""),20140081)</f>
        <v>20140081</v>
      </c>
      <c r="G799" s="77" t="str">
        <f t="shared" ca="1" si="3"/>
        <v>si</v>
      </c>
    </row>
    <row r="800" spans="1:7" ht="12.75" x14ac:dyDescent="0.2">
      <c r="A800" s="62">
        <f ca="1">IFERROR(__xludf.DUMMYFUNCTION("""COMPUTED_VALUE"""),20140079)</f>
        <v>20140079</v>
      </c>
      <c r="B800" s="62" t="str">
        <f ca="1">IFERROR(__xludf.DUMMYFUNCTION("""COMPUTED_VALUE"""),"Teclado Apple A1398 Español")</f>
        <v>Teclado Apple A1398 Español</v>
      </c>
      <c r="C800" s="75">
        <f ca="1">IFERROR(__xludf.DUMMYFUNCTION("""COMPUTED_VALUE"""),110)</f>
        <v>110</v>
      </c>
      <c r="D800" s="75">
        <f ca="1">IFERROR(__xludf.DUMMYFUNCTION("""COMPUTED_VALUE"""),100)</f>
        <v>100</v>
      </c>
      <c r="E800" s="76">
        <f ca="1">IFERROR(__xludf.DUMMYFUNCTION("""COMPUTED_VALUE"""),210)</f>
        <v>210</v>
      </c>
      <c r="F800" s="77">
        <f ca="1">IFERROR(__xludf.DUMMYFUNCTION("""COMPUTED_VALUE"""),20140079)</f>
        <v>20140079</v>
      </c>
      <c r="G800" s="77" t="str">
        <f t="shared" ca="1" si="3"/>
        <v>si</v>
      </c>
    </row>
    <row r="801" spans="1:7" ht="12.75" x14ac:dyDescent="0.2">
      <c r="A801" s="62">
        <f ca="1">IFERROR(__xludf.DUMMYFUNCTION("""COMPUTED_VALUE"""),20140069)</f>
        <v>20140069</v>
      </c>
      <c r="B801" s="62" t="str">
        <f ca="1">IFERROR(__xludf.DUMMYFUNCTION("""COMPUTED_VALUE"""),"Teclado Apple A1286 Español")</f>
        <v>Teclado Apple A1286 Español</v>
      </c>
      <c r="C801" s="75">
        <f ca="1">IFERROR(__xludf.DUMMYFUNCTION("""COMPUTED_VALUE"""),110)</f>
        <v>110</v>
      </c>
      <c r="D801" s="75">
        <f ca="1">IFERROR(__xludf.DUMMYFUNCTION("""COMPUTED_VALUE"""),100)</f>
        <v>100</v>
      </c>
      <c r="E801" s="76">
        <f ca="1">IFERROR(__xludf.DUMMYFUNCTION("""COMPUTED_VALUE"""),210)</f>
        <v>210</v>
      </c>
      <c r="F801" s="77">
        <f ca="1">IFERROR(__xludf.DUMMYFUNCTION("""COMPUTED_VALUE"""),20140069)</f>
        <v>20140069</v>
      </c>
      <c r="G801" s="77" t="str">
        <f t="shared" ca="1" si="3"/>
        <v>si</v>
      </c>
    </row>
    <row r="802" spans="1:7" ht="12.75" x14ac:dyDescent="0.2">
      <c r="A802" s="62">
        <f ca="1">IFERROR(__xludf.DUMMYFUNCTION("""COMPUTED_VALUE"""),20140071)</f>
        <v>20140071</v>
      </c>
      <c r="B802" s="62" t="str">
        <f ca="1">IFERROR(__xludf.DUMMYFUNCTION("""COMPUTED_VALUE"""),"Teclado Apple A1297 Español")</f>
        <v>Teclado Apple A1297 Español</v>
      </c>
      <c r="C802" s="75">
        <f ca="1">IFERROR(__xludf.DUMMYFUNCTION("""COMPUTED_VALUE"""),110)</f>
        <v>110</v>
      </c>
      <c r="D802" s="75">
        <f ca="1">IFERROR(__xludf.DUMMYFUNCTION("""COMPUTED_VALUE"""),100)</f>
        <v>100</v>
      </c>
      <c r="E802" s="76">
        <f ca="1">IFERROR(__xludf.DUMMYFUNCTION("""COMPUTED_VALUE"""),210)</f>
        <v>210</v>
      </c>
      <c r="F802" s="77">
        <f ca="1">IFERROR(__xludf.DUMMYFUNCTION("""COMPUTED_VALUE"""),20140071)</f>
        <v>20140071</v>
      </c>
      <c r="G802" s="77" t="str">
        <f t="shared" ca="1" si="3"/>
        <v>si</v>
      </c>
    </row>
    <row r="803" spans="1:7" ht="12.75" x14ac:dyDescent="0.2">
      <c r="A803" s="62">
        <f ca="1">IFERROR(__xludf.DUMMYFUNCTION("""COMPUTED_VALUE"""),20140085)</f>
        <v>20140085</v>
      </c>
      <c r="B803" s="62" t="str">
        <f ca="1">IFERROR(__xludf.DUMMYFUNCTION("""COMPUTED_VALUE"""),"Teclado Apple A1502 Español")</f>
        <v>Teclado Apple A1502 Español</v>
      </c>
      <c r="C803" s="75">
        <f ca="1">IFERROR(__xludf.DUMMYFUNCTION("""COMPUTED_VALUE"""),110)</f>
        <v>110</v>
      </c>
      <c r="D803" s="75">
        <f ca="1">IFERROR(__xludf.DUMMYFUNCTION("""COMPUTED_VALUE"""),100)</f>
        <v>100</v>
      </c>
      <c r="E803" s="76">
        <f ca="1">IFERROR(__xludf.DUMMYFUNCTION("""COMPUTED_VALUE"""),210)</f>
        <v>210</v>
      </c>
      <c r="F803" s="77">
        <f ca="1">IFERROR(__xludf.DUMMYFUNCTION("""COMPUTED_VALUE"""),20140085)</f>
        <v>20140085</v>
      </c>
      <c r="G803" s="77" t="str">
        <f t="shared" ca="1" si="3"/>
        <v>si</v>
      </c>
    </row>
    <row r="804" spans="1:7" ht="12.75" x14ac:dyDescent="0.2">
      <c r="A804" s="62">
        <f ca="1">IFERROR(__xludf.DUMMYFUNCTION("""COMPUTED_VALUE"""),20140087)</f>
        <v>20140087</v>
      </c>
      <c r="B804" s="62" t="str">
        <f ca="1">IFERROR(__xludf.DUMMYFUNCTION("""COMPUTED_VALUE"""),"Teclado Apple A1534 Español")</f>
        <v>Teclado Apple A1534 Español</v>
      </c>
      <c r="C804" s="75">
        <f ca="1">IFERROR(__xludf.DUMMYFUNCTION("""COMPUTED_VALUE"""),390)</f>
        <v>390</v>
      </c>
      <c r="D804" s="75">
        <f ca="1">IFERROR(__xludf.DUMMYFUNCTION("""COMPUTED_VALUE"""),200)</f>
        <v>200</v>
      </c>
      <c r="E804" s="76">
        <f ca="1">IFERROR(__xludf.DUMMYFUNCTION("""COMPUTED_VALUE"""),590)</f>
        <v>590</v>
      </c>
      <c r="F804" s="77">
        <f ca="1">IFERROR(__xludf.DUMMYFUNCTION("""COMPUTED_VALUE"""),20140087)</f>
        <v>20140087</v>
      </c>
      <c r="G804" s="77" t="str">
        <f t="shared" ca="1" si="3"/>
        <v>si</v>
      </c>
    </row>
    <row r="805" spans="1:7" ht="12.75" x14ac:dyDescent="0.2">
      <c r="A805" s="62">
        <f ca="1">IFERROR(__xludf.DUMMYFUNCTION("""COMPUTED_VALUE"""),20140093)</f>
        <v>20140093</v>
      </c>
      <c r="B805" s="62" t="str">
        <f ca="1">IFERROR(__xludf.DUMMYFUNCTION("""COMPUTED_VALUE"""),"Teclado Apple A1932 - A2179 Español")</f>
        <v>Teclado Apple A1932 - A2179 Español</v>
      </c>
      <c r="C805" s="75">
        <f ca="1">IFERROR(__xludf.DUMMYFUNCTION("""COMPUTED_VALUE"""),460)</f>
        <v>460</v>
      </c>
      <c r="D805" s="75">
        <f ca="1">IFERROR(__xludf.DUMMYFUNCTION("""COMPUTED_VALUE"""),100)</f>
        <v>100</v>
      </c>
      <c r="E805" s="76">
        <f ca="1">IFERROR(__xludf.DUMMYFUNCTION("""COMPUTED_VALUE"""),560)</f>
        <v>560</v>
      </c>
      <c r="F805" s="77">
        <f ca="1">IFERROR(__xludf.DUMMYFUNCTION("""COMPUTED_VALUE"""),20140093)</f>
        <v>20140093</v>
      </c>
      <c r="G805" s="77" t="str">
        <f t="shared" ca="1" si="3"/>
        <v>si</v>
      </c>
    </row>
    <row r="806" spans="1:7" ht="12.75" x14ac:dyDescent="0.2">
      <c r="A806" s="62">
        <f ca="1">IFERROR(__xludf.DUMMYFUNCTION("""COMPUTED_VALUE"""),20140090)</f>
        <v>20140090</v>
      </c>
      <c r="B806" s="62" t="str">
        <f ca="1">IFERROR(__xludf.DUMMYFUNCTION("""COMPUTED_VALUE"""),"Teclado Apple A1706 / A1707  Español")</f>
        <v>Teclado Apple A1706 / A1707  Español</v>
      </c>
      <c r="C806" s="75">
        <f ca="1">IFERROR(__xludf.DUMMYFUNCTION("""COMPUTED_VALUE"""),390)</f>
        <v>390</v>
      </c>
      <c r="D806" s="75">
        <f ca="1">IFERROR(__xludf.DUMMYFUNCTION("""COMPUTED_VALUE"""),100)</f>
        <v>100</v>
      </c>
      <c r="E806" s="76">
        <f ca="1">IFERROR(__xludf.DUMMYFUNCTION("""COMPUTED_VALUE"""),490)</f>
        <v>490</v>
      </c>
      <c r="F806" s="77">
        <f ca="1">IFERROR(__xludf.DUMMYFUNCTION("""COMPUTED_VALUE"""),20140090)</f>
        <v>20140090</v>
      </c>
      <c r="G806" s="77" t="str">
        <f t="shared" ca="1" si="3"/>
        <v>si</v>
      </c>
    </row>
    <row r="807" spans="1:7" ht="12.75" x14ac:dyDescent="0.2">
      <c r="A807" s="62">
        <f ca="1">IFERROR(__xludf.DUMMYFUNCTION("""COMPUTED_VALUE"""),20140097)</f>
        <v>20140097</v>
      </c>
      <c r="B807" s="62" t="str">
        <f ca="1">IFERROR(__xludf.DUMMYFUNCTION("""COMPUTED_VALUE"""),"Teclado Apple A2159 Español")</f>
        <v>Teclado Apple A2159 Español</v>
      </c>
      <c r="C807" s="75">
        <f ca="1">IFERROR(__xludf.DUMMYFUNCTION("""COMPUTED_VALUE"""),460)</f>
        <v>460</v>
      </c>
      <c r="D807" s="75">
        <f ca="1">IFERROR(__xludf.DUMMYFUNCTION("""COMPUTED_VALUE"""),100)</f>
        <v>100</v>
      </c>
      <c r="E807" s="76">
        <f ca="1">IFERROR(__xludf.DUMMYFUNCTION("""COMPUTED_VALUE"""),560)</f>
        <v>560</v>
      </c>
      <c r="F807" s="77">
        <f ca="1">IFERROR(__xludf.DUMMYFUNCTION("""COMPUTED_VALUE"""),20140097)</f>
        <v>20140097</v>
      </c>
      <c r="G807" s="77" t="str">
        <f t="shared" ca="1" si="3"/>
        <v>si</v>
      </c>
    </row>
    <row r="808" spans="1:7" ht="12.75" x14ac:dyDescent="0.2">
      <c r="A808" s="62">
        <f ca="1">IFERROR(__xludf.DUMMYFUNCTION("""COMPUTED_VALUE"""),20140091)</f>
        <v>20140091</v>
      </c>
      <c r="B808" s="62" t="str">
        <f ca="1">IFERROR(__xludf.DUMMYFUNCTION("""COMPUTED_VALUE"""),"Teclado Apple A1708  Español")</f>
        <v>Teclado Apple A1708  Español</v>
      </c>
      <c r="C808" s="75">
        <f ca="1">IFERROR(__xludf.DUMMYFUNCTION("""COMPUTED_VALUE"""),390)</f>
        <v>390</v>
      </c>
      <c r="D808" s="75">
        <f ca="1">IFERROR(__xludf.DUMMYFUNCTION("""COMPUTED_VALUE"""),100)</f>
        <v>100</v>
      </c>
      <c r="E808" s="76">
        <f ca="1">IFERROR(__xludf.DUMMYFUNCTION("""COMPUTED_VALUE"""),490)</f>
        <v>490</v>
      </c>
      <c r="F808" s="77">
        <f ca="1">IFERROR(__xludf.DUMMYFUNCTION("""COMPUTED_VALUE"""),20140091)</f>
        <v>20140091</v>
      </c>
      <c r="G808" s="77" t="str">
        <f t="shared" ca="1" si="3"/>
        <v>si</v>
      </c>
    </row>
    <row r="809" spans="1:7" ht="12.75" x14ac:dyDescent="0.2">
      <c r="A809" s="62">
        <f ca="1">IFERROR(__xludf.DUMMYFUNCTION("""COMPUTED_VALUE"""),20140095)</f>
        <v>20140095</v>
      </c>
      <c r="B809" s="62" t="str">
        <f ca="1">IFERROR(__xludf.DUMMYFUNCTION("""COMPUTED_VALUE"""),"Teclado Apple A1989 / A1990  Español")</f>
        <v>Teclado Apple A1989 / A1990  Español</v>
      </c>
      <c r="C809" s="75">
        <f ca="1">IFERROR(__xludf.DUMMYFUNCTION("""COMPUTED_VALUE"""),410)</f>
        <v>410</v>
      </c>
      <c r="D809" s="75">
        <f ca="1">IFERROR(__xludf.DUMMYFUNCTION("""COMPUTED_VALUE"""),100)</f>
        <v>100</v>
      </c>
      <c r="E809" s="76">
        <f ca="1">IFERROR(__xludf.DUMMYFUNCTION("""COMPUTED_VALUE"""),510)</f>
        <v>510</v>
      </c>
      <c r="F809" s="77">
        <f ca="1">IFERROR(__xludf.DUMMYFUNCTION("""COMPUTED_VALUE"""),20140095)</f>
        <v>20140095</v>
      </c>
      <c r="G809" s="77" t="str">
        <f t="shared" ca="1" si="3"/>
        <v>si</v>
      </c>
    </row>
    <row r="810" spans="1:7" ht="12.75" x14ac:dyDescent="0.2">
      <c r="A810" s="62">
        <f ca="1">IFERROR(__xludf.DUMMYFUNCTION("""COMPUTED_VALUE"""),20140166)</f>
        <v>20140166</v>
      </c>
      <c r="B810" s="62" t="str">
        <f ca="1">IFERROR(__xludf.DUMMYFUNCTION("""COMPUTED_VALUE"""),"Teclado Apple A2337 Español")</f>
        <v>Teclado Apple A2337 Español</v>
      </c>
      <c r="C810" s="75">
        <f ca="1">IFERROR(__xludf.DUMMYFUNCTION("""COMPUTED_VALUE"""),390)</f>
        <v>390</v>
      </c>
      <c r="D810" s="75">
        <f ca="1">IFERROR(__xludf.DUMMYFUNCTION("""COMPUTED_VALUE"""),100)</f>
        <v>100</v>
      </c>
      <c r="E810" s="76">
        <f ca="1">IFERROR(__xludf.DUMMYFUNCTION("""COMPUTED_VALUE"""),490)</f>
        <v>490</v>
      </c>
      <c r="F810" s="77">
        <f ca="1">IFERROR(__xludf.DUMMYFUNCTION("""COMPUTED_VALUE"""),20140166)</f>
        <v>20140166</v>
      </c>
      <c r="G810" s="77" t="str">
        <f t="shared" ca="1" si="3"/>
        <v>si</v>
      </c>
    </row>
    <row r="811" spans="1:7" ht="12.75" x14ac:dyDescent="0.2">
      <c r="A811" s="62">
        <f ca="1">IFERROR(__xludf.DUMMYFUNCTION("""COMPUTED_VALUE"""),20140167)</f>
        <v>20140167</v>
      </c>
      <c r="B811" s="62" t="str">
        <f ca="1">IFERROR(__xludf.DUMMYFUNCTION("""COMPUTED_VALUE"""),"Teclado Apple A2179 Español")</f>
        <v>Teclado Apple A2179 Español</v>
      </c>
      <c r="C811" s="75">
        <f ca="1">IFERROR(__xludf.DUMMYFUNCTION("""COMPUTED_VALUE"""),390)</f>
        <v>390</v>
      </c>
      <c r="D811" s="75">
        <f ca="1">IFERROR(__xludf.DUMMYFUNCTION("""COMPUTED_VALUE"""),100)</f>
        <v>100</v>
      </c>
      <c r="E811" s="76">
        <f ca="1">IFERROR(__xludf.DUMMYFUNCTION("""COMPUTED_VALUE"""),490)</f>
        <v>490</v>
      </c>
      <c r="F811" s="77">
        <f ca="1">IFERROR(__xludf.DUMMYFUNCTION("""COMPUTED_VALUE"""),20140167)</f>
        <v>20140167</v>
      </c>
      <c r="G811" s="77" t="str">
        <f t="shared" ca="1" si="3"/>
        <v>si</v>
      </c>
    </row>
    <row r="812" spans="1:7" ht="12.75" x14ac:dyDescent="0.2">
      <c r="A812" s="62">
        <f ca="1">IFERROR(__xludf.DUMMYFUNCTION("""COMPUTED_VALUE"""),20140168)</f>
        <v>20140168</v>
      </c>
      <c r="B812" s="62" t="str">
        <f ca="1">IFERROR(__xludf.DUMMYFUNCTION("""COMPUTED_VALUE"""),"Teclado Apple A2338 Español")</f>
        <v>Teclado Apple A2338 Español</v>
      </c>
      <c r="C812" s="75">
        <f ca="1">IFERROR(__xludf.DUMMYFUNCTION("""COMPUTED_VALUE"""),390)</f>
        <v>390</v>
      </c>
      <c r="D812" s="75">
        <f ca="1">IFERROR(__xludf.DUMMYFUNCTION("""COMPUTED_VALUE"""),100)</f>
        <v>100</v>
      </c>
      <c r="E812" s="76">
        <f ca="1">IFERROR(__xludf.DUMMYFUNCTION("""COMPUTED_VALUE"""),490)</f>
        <v>490</v>
      </c>
      <c r="F812" s="77">
        <f ca="1">IFERROR(__xludf.DUMMYFUNCTION("""COMPUTED_VALUE"""),20140168)</f>
        <v>20140168</v>
      </c>
      <c r="G812" s="77" t="str">
        <f t="shared" ca="1" si="3"/>
        <v>si</v>
      </c>
    </row>
    <row r="813" spans="1:7" ht="12.75" x14ac:dyDescent="0.2">
      <c r="A813" s="62">
        <f ca="1">IFERROR(__xludf.DUMMYFUNCTION("""COMPUTED_VALUE"""),20140169)</f>
        <v>20140169</v>
      </c>
      <c r="B813" s="62" t="str">
        <f ca="1">IFERROR(__xludf.DUMMYFUNCTION("""COMPUTED_VALUE"""),"Teclado Apple A2289 Español")</f>
        <v>Teclado Apple A2289 Español</v>
      </c>
      <c r="C813" s="75">
        <f ca="1">IFERROR(__xludf.DUMMYFUNCTION("""COMPUTED_VALUE"""),390)</f>
        <v>390</v>
      </c>
      <c r="D813" s="75">
        <f ca="1">IFERROR(__xludf.DUMMYFUNCTION("""COMPUTED_VALUE"""),100)</f>
        <v>100</v>
      </c>
      <c r="E813" s="76">
        <f ca="1">IFERROR(__xludf.DUMMYFUNCTION("""COMPUTED_VALUE"""),490)</f>
        <v>490</v>
      </c>
      <c r="F813" s="77">
        <f ca="1">IFERROR(__xludf.DUMMYFUNCTION("""COMPUTED_VALUE"""),20140169)</f>
        <v>20140169</v>
      </c>
      <c r="G813" s="77" t="str">
        <f t="shared" ca="1" si="3"/>
        <v>si</v>
      </c>
    </row>
    <row r="814" spans="1:7" ht="12.75" x14ac:dyDescent="0.2">
      <c r="A814" s="62">
        <f ca="1">IFERROR(__xludf.DUMMYFUNCTION("""COMPUTED_VALUE"""),20140084)</f>
        <v>20140084</v>
      </c>
      <c r="B814" s="62" t="str">
        <f ca="1">IFERROR(__xludf.DUMMYFUNCTION("""COMPUTED_VALUE"""),"Teclado Apple A1465 Ingles")</f>
        <v>Teclado Apple A1465 Ingles</v>
      </c>
      <c r="C814" s="75">
        <f ca="1">IFERROR(__xludf.DUMMYFUNCTION("""COMPUTED_VALUE"""),110)</f>
        <v>110</v>
      </c>
      <c r="D814" s="75">
        <f ca="1">IFERROR(__xludf.DUMMYFUNCTION("""COMPUTED_VALUE"""),100)</f>
        <v>100</v>
      </c>
      <c r="E814" s="76">
        <f ca="1">IFERROR(__xludf.DUMMYFUNCTION("""COMPUTED_VALUE"""),210)</f>
        <v>210</v>
      </c>
      <c r="F814" s="77">
        <f ca="1">IFERROR(__xludf.DUMMYFUNCTION("""COMPUTED_VALUE"""),20140084)</f>
        <v>20140084</v>
      </c>
      <c r="G814" s="77" t="str">
        <f t="shared" ca="1" si="3"/>
        <v>si</v>
      </c>
    </row>
    <row r="815" spans="1:7" ht="12.75" x14ac:dyDescent="0.2">
      <c r="A815" s="62">
        <f ca="1">IFERROR(__xludf.DUMMYFUNCTION("""COMPUTED_VALUE"""),20140076)</f>
        <v>20140076</v>
      </c>
      <c r="B815" s="62" t="str">
        <f ca="1">IFERROR(__xludf.DUMMYFUNCTION("""COMPUTED_VALUE"""),"Teclado Apple A1369 / A1466 / A1405 Año 2010 Ingles")</f>
        <v>Teclado Apple A1369 / A1466 / A1405 Año 2010 Ingles</v>
      </c>
      <c r="C815" s="75">
        <f ca="1">IFERROR(__xludf.DUMMYFUNCTION("""COMPUTED_VALUE"""),110)</f>
        <v>110</v>
      </c>
      <c r="D815" s="75">
        <f ca="1">IFERROR(__xludf.DUMMYFUNCTION("""COMPUTED_VALUE"""),100)</f>
        <v>100</v>
      </c>
      <c r="E815" s="76">
        <f ca="1">IFERROR(__xludf.DUMMYFUNCTION("""COMPUTED_VALUE"""),210)</f>
        <v>210</v>
      </c>
      <c r="F815" s="77">
        <f ca="1">IFERROR(__xludf.DUMMYFUNCTION("""COMPUTED_VALUE"""),20140076)</f>
        <v>20140076</v>
      </c>
      <c r="G815" s="77" t="str">
        <f t="shared" ca="1" si="3"/>
        <v>si</v>
      </c>
    </row>
    <row r="816" spans="1:7" ht="12.75" x14ac:dyDescent="0.2">
      <c r="A816" s="62">
        <f ca="1">IFERROR(__xludf.DUMMYFUNCTION("""COMPUTED_VALUE"""),20140078)</f>
        <v>20140078</v>
      </c>
      <c r="B816" s="62" t="str">
        <f ca="1">IFERROR(__xludf.DUMMYFUNCTION("""COMPUTED_VALUE"""),"Teclado Apple A1370 / año 2010 Ingles")</f>
        <v>Teclado Apple A1370 / año 2010 Ingles</v>
      </c>
      <c r="C816" s="75">
        <f ca="1">IFERROR(__xludf.DUMMYFUNCTION("""COMPUTED_VALUE"""),110)</f>
        <v>110</v>
      </c>
      <c r="D816" s="75">
        <f ca="1">IFERROR(__xludf.DUMMYFUNCTION("""COMPUTED_VALUE"""),100)</f>
        <v>100</v>
      </c>
      <c r="E816" s="76">
        <f ca="1">IFERROR(__xludf.DUMMYFUNCTION("""COMPUTED_VALUE"""),210)</f>
        <v>210</v>
      </c>
      <c r="F816" s="77">
        <f ca="1">IFERROR(__xludf.DUMMYFUNCTION("""COMPUTED_VALUE"""),20140078)</f>
        <v>20140078</v>
      </c>
      <c r="G816" s="77" t="str">
        <f t="shared" ca="1" si="3"/>
        <v>si</v>
      </c>
    </row>
    <row r="817" spans="1:7" ht="12.75" x14ac:dyDescent="0.2">
      <c r="A817" s="62">
        <f ca="1">IFERROR(__xludf.DUMMYFUNCTION("""COMPUTED_VALUE"""),20140074)</f>
        <v>20140074</v>
      </c>
      <c r="B817" s="62" t="str">
        <f ca="1">IFERROR(__xludf.DUMMYFUNCTION("""COMPUTED_VALUE"""),"Teclado Apple A1322 / A1278 Ingles")</f>
        <v>Teclado Apple A1322 / A1278 Ingles</v>
      </c>
      <c r="C817" s="75">
        <f ca="1">IFERROR(__xludf.DUMMYFUNCTION("""COMPUTED_VALUE"""),110)</f>
        <v>110</v>
      </c>
      <c r="D817" s="75">
        <f ca="1">IFERROR(__xludf.DUMMYFUNCTION("""COMPUTED_VALUE"""),100)</f>
        <v>100</v>
      </c>
      <c r="E817" s="76">
        <f ca="1">IFERROR(__xludf.DUMMYFUNCTION("""COMPUTED_VALUE"""),210)</f>
        <v>210</v>
      </c>
      <c r="F817" s="77">
        <f ca="1">IFERROR(__xludf.DUMMYFUNCTION("""COMPUTED_VALUE"""),20140074)</f>
        <v>20140074</v>
      </c>
      <c r="G817" s="77" t="str">
        <f t="shared" ca="1" si="3"/>
        <v>si</v>
      </c>
    </row>
    <row r="818" spans="1:7" ht="12.75" x14ac:dyDescent="0.2">
      <c r="A818" s="62">
        <f ca="1">IFERROR(__xludf.DUMMYFUNCTION("""COMPUTED_VALUE"""),20140082)</f>
        <v>20140082</v>
      </c>
      <c r="B818" s="62" t="str">
        <f ca="1">IFERROR(__xludf.DUMMYFUNCTION("""COMPUTED_VALUE"""),"Teclado Apple A1425 Ingles")</f>
        <v>Teclado Apple A1425 Ingles</v>
      </c>
      <c r="C818" s="75">
        <f ca="1">IFERROR(__xludf.DUMMYFUNCTION("""COMPUTED_VALUE"""),110)</f>
        <v>110</v>
      </c>
      <c r="D818" s="75">
        <f ca="1">IFERROR(__xludf.DUMMYFUNCTION("""COMPUTED_VALUE"""),100)</f>
        <v>100</v>
      </c>
      <c r="E818" s="76">
        <f ca="1">IFERROR(__xludf.DUMMYFUNCTION("""COMPUTED_VALUE"""),210)</f>
        <v>210</v>
      </c>
      <c r="F818" s="77">
        <f ca="1">IFERROR(__xludf.DUMMYFUNCTION("""COMPUTED_VALUE"""),20140082)</f>
        <v>20140082</v>
      </c>
      <c r="G818" s="77" t="str">
        <f t="shared" ca="1" si="3"/>
        <v>si</v>
      </c>
    </row>
    <row r="819" spans="1:7" ht="12.75" x14ac:dyDescent="0.2">
      <c r="A819" s="62">
        <f ca="1">IFERROR(__xludf.DUMMYFUNCTION("""COMPUTED_VALUE"""),20140080)</f>
        <v>20140080</v>
      </c>
      <c r="B819" s="62" t="str">
        <f ca="1">IFERROR(__xludf.DUMMYFUNCTION("""COMPUTED_VALUE"""),"Teclado Apple A1398 Ingles")</f>
        <v>Teclado Apple A1398 Ingles</v>
      </c>
      <c r="C819" s="75">
        <f ca="1">IFERROR(__xludf.DUMMYFUNCTION("""COMPUTED_VALUE"""),110)</f>
        <v>110</v>
      </c>
      <c r="D819" s="75">
        <f ca="1">IFERROR(__xludf.DUMMYFUNCTION("""COMPUTED_VALUE"""),100)</f>
        <v>100</v>
      </c>
      <c r="E819" s="76">
        <f ca="1">IFERROR(__xludf.DUMMYFUNCTION("""COMPUTED_VALUE"""),210)</f>
        <v>210</v>
      </c>
      <c r="F819" s="77">
        <f ca="1">IFERROR(__xludf.DUMMYFUNCTION("""COMPUTED_VALUE"""),20140080)</f>
        <v>20140080</v>
      </c>
      <c r="G819" s="77" t="str">
        <f t="shared" ca="1" si="3"/>
        <v>si</v>
      </c>
    </row>
    <row r="820" spans="1:7" ht="12.75" x14ac:dyDescent="0.2">
      <c r="A820" s="62">
        <f ca="1">IFERROR(__xludf.DUMMYFUNCTION("""COMPUTED_VALUE"""),20140070)</f>
        <v>20140070</v>
      </c>
      <c r="B820" s="62" t="str">
        <f ca="1">IFERROR(__xludf.DUMMYFUNCTION("""COMPUTED_VALUE"""),"Teclado Apple A1286 Ingles")</f>
        <v>Teclado Apple A1286 Ingles</v>
      </c>
      <c r="C820" s="75">
        <f ca="1">IFERROR(__xludf.DUMMYFUNCTION("""COMPUTED_VALUE"""),110)</f>
        <v>110</v>
      </c>
      <c r="D820" s="75">
        <f ca="1">IFERROR(__xludf.DUMMYFUNCTION("""COMPUTED_VALUE"""),100)</f>
        <v>100</v>
      </c>
      <c r="E820" s="76">
        <f ca="1">IFERROR(__xludf.DUMMYFUNCTION("""COMPUTED_VALUE"""),210)</f>
        <v>210</v>
      </c>
      <c r="F820" s="77">
        <f ca="1">IFERROR(__xludf.DUMMYFUNCTION("""COMPUTED_VALUE"""),20140070)</f>
        <v>20140070</v>
      </c>
      <c r="G820" s="77" t="str">
        <f t="shared" ca="1" si="3"/>
        <v>si</v>
      </c>
    </row>
    <row r="821" spans="1:7" ht="12.75" x14ac:dyDescent="0.2">
      <c r="A821" s="62">
        <f ca="1">IFERROR(__xludf.DUMMYFUNCTION("""COMPUTED_VALUE"""),20140072)</f>
        <v>20140072</v>
      </c>
      <c r="B821" s="62" t="str">
        <f ca="1">IFERROR(__xludf.DUMMYFUNCTION("""COMPUTED_VALUE"""),"Teclado Apple A1297 Ingles")</f>
        <v>Teclado Apple A1297 Ingles</v>
      </c>
      <c r="C821" s="75">
        <f ca="1">IFERROR(__xludf.DUMMYFUNCTION("""COMPUTED_VALUE"""),110)</f>
        <v>110</v>
      </c>
      <c r="D821" s="75">
        <f ca="1">IFERROR(__xludf.DUMMYFUNCTION("""COMPUTED_VALUE"""),100)</f>
        <v>100</v>
      </c>
      <c r="E821" s="76">
        <f ca="1">IFERROR(__xludf.DUMMYFUNCTION("""COMPUTED_VALUE"""),210)</f>
        <v>210</v>
      </c>
      <c r="F821" s="77">
        <f ca="1">IFERROR(__xludf.DUMMYFUNCTION("""COMPUTED_VALUE"""),20140072)</f>
        <v>20140072</v>
      </c>
      <c r="G821" s="77" t="str">
        <f t="shared" ca="1" si="3"/>
        <v>si</v>
      </c>
    </row>
    <row r="822" spans="1:7" ht="12.75" x14ac:dyDescent="0.2">
      <c r="A822" s="62">
        <f ca="1">IFERROR(__xludf.DUMMYFUNCTION("""COMPUTED_VALUE"""),20140086)</f>
        <v>20140086</v>
      </c>
      <c r="B822" s="62" t="str">
        <f ca="1">IFERROR(__xludf.DUMMYFUNCTION("""COMPUTED_VALUE"""),"Teclado Apple A1502 Ingles")</f>
        <v>Teclado Apple A1502 Ingles</v>
      </c>
      <c r="C822" s="75">
        <f ca="1">IFERROR(__xludf.DUMMYFUNCTION("""COMPUTED_VALUE"""),110)</f>
        <v>110</v>
      </c>
      <c r="D822" s="75">
        <f ca="1">IFERROR(__xludf.DUMMYFUNCTION("""COMPUTED_VALUE"""),100)</f>
        <v>100</v>
      </c>
      <c r="E822" s="76">
        <f ca="1">IFERROR(__xludf.DUMMYFUNCTION("""COMPUTED_VALUE"""),210)</f>
        <v>210</v>
      </c>
      <c r="F822" s="77">
        <f ca="1">IFERROR(__xludf.DUMMYFUNCTION("""COMPUTED_VALUE"""),20140086)</f>
        <v>20140086</v>
      </c>
      <c r="G822" s="77" t="str">
        <f t="shared" ca="1" si="3"/>
        <v>si</v>
      </c>
    </row>
    <row r="823" spans="1:7" ht="12.75" x14ac:dyDescent="0.2">
      <c r="A823" s="62">
        <f ca="1">IFERROR(__xludf.DUMMYFUNCTION("""COMPUTED_VALUE"""),20140088)</f>
        <v>20140088</v>
      </c>
      <c r="B823" s="62" t="str">
        <f ca="1">IFERROR(__xludf.DUMMYFUNCTION("""COMPUTED_VALUE"""),"Teclado Apple A1534 Ingles")</f>
        <v>Teclado Apple A1534 Ingles</v>
      </c>
      <c r="C823" s="75">
        <f ca="1">IFERROR(__xludf.DUMMYFUNCTION("""COMPUTED_VALUE"""),390)</f>
        <v>390</v>
      </c>
      <c r="D823" s="75">
        <f ca="1">IFERROR(__xludf.DUMMYFUNCTION("""COMPUTED_VALUE"""),100)</f>
        <v>100</v>
      </c>
      <c r="E823" s="76">
        <f ca="1">IFERROR(__xludf.DUMMYFUNCTION("""COMPUTED_VALUE"""),490)</f>
        <v>490</v>
      </c>
      <c r="F823" s="77">
        <f ca="1">IFERROR(__xludf.DUMMYFUNCTION("""COMPUTED_VALUE"""),20140088)</f>
        <v>20140088</v>
      </c>
      <c r="G823" s="77" t="str">
        <f t="shared" ca="1" si="3"/>
        <v>si</v>
      </c>
    </row>
    <row r="824" spans="1:7" ht="12.75" x14ac:dyDescent="0.2">
      <c r="A824" s="62">
        <f ca="1">IFERROR(__xludf.DUMMYFUNCTION("""COMPUTED_VALUE"""),20140094)</f>
        <v>20140094</v>
      </c>
      <c r="B824" s="62" t="str">
        <f ca="1">IFERROR(__xludf.DUMMYFUNCTION("""COMPUTED_VALUE"""),"Teclado Apple A1932 - A2179 Ingles")</f>
        <v>Teclado Apple A1932 - A2179 Ingles</v>
      </c>
      <c r="C824" s="75">
        <f ca="1">IFERROR(__xludf.DUMMYFUNCTION("""COMPUTED_VALUE"""),460)</f>
        <v>460</v>
      </c>
      <c r="D824" s="75">
        <f ca="1">IFERROR(__xludf.DUMMYFUNCTION("""COMPUTED_VALUE"""),100)</f>
        <v>100</v>
      </c>
      <c r="E824" s="76">
        <f ca="1">IFERROR(__xludf.DUMMYFUNCTION("""COMPUTED_VALUE"""),560)</f>
        <v>560</v>
      </c>
      <c r="F824" s="77">
        <f ca="1">IFERROR(__xludf.DUMMYFUNCTION("""COMPUTED_VALUE"""),20140094)</f>
        <v>20140094</v>
      </c>
      <c r="G824" s="77" t="str">
        <f t="shared" ca="1" si="3"/>
        <v>si</v>
      </c>
    </row>
    <row r="825" spans="1:7" ht="12.75" x14ac:dyDescent="0.2">
      <c r="A825" s="62">
        <f ca="1">IFERROR(__xludf.DUMMYFUNCTION("""COMPUTED_VALUE"""),20140089)</f>
        <v>20140089</v>
      </c>
      <c r="B825" s="62" t="str">
        <f ca="1">IFERROR(__xludf.DUMMYFUNCTION("""COMPUTED_VALUE"""),"Teclado Apple A1706  / A1707  Ingles")</f>
        <v>Teclado Apple A1706  / A1707  Ingles</v>
      </c>
      <c r="C825" s="75">
        <f ca="1">IFERROR(__xludf.DUMMYFUNCTION("""COMPUTED_VALUE"""),390)</f>
        <v>390</v>
      </c>
      <c r="D825" s="75">
        <f ca="1">IFERROR(__xludf.DUMMYFUNCTION("""COMPUTED_VALUE"""),100)</f>
        <v>100</v>
      </c>
      <c r="E825" s="76">
        <f ca="1">IFERROR(__xludf.DUMMYFUNCTION("""COMPUTED_VALUE"""),490)</f>
        <v>490</v>
      </c>
      <c r="F825" s="77">
        <f ca="1">IFERROR(__xludf.DUMMYFUNCTION("""COMPUTED_VALUE"""),20140089)</f>
        <v>20140089</v>
      </c>
      <c r="G825" s="77" t="str">
        <f t="shared" ca="1" si="3"/>
        <v>si</v>
      </c>
    </row>
    <row r="826" spans="1:7" ht="12.75" x14ac:dyDescent="0.2">
      <c r="A826" s="62">
        <f ca="1">IFERROR(__xludf.DUMMYFUNCTION("""COMPUTED_VALUE"""),20140096)</f>
        <v>20140096</v>
      </c>
      <c r="B826" s="62" t="str">
        <f ca="1">IFERROR(__xludf.DUMMYFUNCTION("""COMPUTED_VALUE"""),"Teclado Apple A1989 / A1990  Ingles")</f>
        <v>Teclado Apple A1989 / A1990  Ingles</v>
      </c>
      <c r="C826" s="75">
        <f ca="1">IFERROR(__xludf.DUMMYFUNCTION("""COMPUTED_VALUE"""),410)</f>
        <v>410</v>
      </c>
      <c r="D826" s="75">
        <f ca="1">IFERROR(__xludf.DUMMYFUNCTION("""COMPUTED_VALUE"""),100)</f>
        <v>100</v>
      </c>
      <c r="E826" s="76">
        <f ca="1">IFERROR(__xludf.DUMMYFUNCTION("""COMPUTED_VALUE"""),510)</f>
        <v>510</v>
      </c>
      <c r="F826" s="77">
        <f ca="1">IFERROR(__xludf.DUMMYFUNCTION("""COMPUTED_VALUE"""),20140096)</f>
        <v>20140096</v>
      </c>
      <c r="G826" s="77" t="str">
        <f t="shared" ca="1" si="3"/>
        <v>si</v>
      </c>
    </row>
    <row r="827" spans="1:7" ht="12.75" x14ac:dyDescent="0.2">
      <c r="A827" s="62">
        <f ca="1">IFERROR(__xludf.DUMMYFUNCTION("""COMPUTED_VALUE"""),20140092)</f>
        <v>20140092</v>
      </c>
      <c r="B827" s="62" t="str">
        <f ca="1">IFERROR(__xludf.DUMMYFUNCTION("""COMPUTED_VALUE"""),"Teclado Apple A1708 Ingles")</f>
        <v>Teclado Apple A1708 Ingles</v>
      </c>
      <c r="C827" s="75">
        <f ca="1">IFERROR(__xludf.DUMMYFUNCTION("""COMPUTED_VALUE"""),390)</f>
        <v>390</v>
      </c>
      <c r="D827" s="75">
        <f ca="1">IFERROR(__xludf.DUMMYFUNCTION("""COMPUTED_VALUE"""),100)</f>
        <v>100</v>
      </c>
      <c r="E827" s="76">
        <f ca="1">IFERROR(__xludf.DUMMYFUNCTION("""COMPUTED_VALUE"""),490)</f>
        <v>490</v>
      </c>
      <c r="F827" s="77">
        <f ca="1">IFERROR(__xludf.DUMMYFUNCTION("""COMPUTED_VALUE"""),20140092)</f>
        <v>20140092</v>
      </c>
      <c r="G827" s="77" t="str">
        <f t="shared" ca="1" si="3"/>
        <v>si</v>
      </c>
    </row>
    <row r="828" spans="1:7" ht="12.75" x14ac:dyDescent="0.2">
      <c r="A828" s="62">
        <f ca="1">IFERROR(__xludf.DUMMYFUNCTION("""COMPUTED_VALUE"""),20140170)</f>
        <v>20140170</v>
      </c>
      <c r="B828" s="62" t="str">
        <f ca="1">IFERROR(__xludf.DUMMYFUNCTION("""COMPUTED_VALUE"""),"Teclado Apple A2337 Ingles")</f>
        <v>Teclado Apple A2337 Ingles</v>
      </c>
      <c r="C828" s="75">
        <f ca="1">IFERROR(__xludf.DUMMYFUNCTION("""COMPUTED_VALUE"""),390)</f>
        <v>390</v>
      </c>
      <c r="D828" s="75">
        <f ca="1">IFERROR(__xludf.DUMMYFUNCTION("""COMPUTED_VALUE"""),100)</f>
        <v>100</v>
      </c>
      <c r="E828" s="76">
        <f ca="1">IFERROR(__xludf.DUMMYFUNCTION("""COMPUTED_VALUE"""),490)</f>
        <v>490</v>
      </c>
      <c r="F828" s="77">
        <f ca="1">IFERROR(__xludf.DUMMYFUNCTION("""COMPUTED_VALUE"""),20140170)</f>
        <v>20140170</v>
      </c>
      <c r="G828" s="77" t="str">
        <f t="shared" ca="1" si="3"/>
        <v>si</v>
      </c>
    </row>
    <row r="829" spans="1:7" ht="12.75" x14ac:dyDescent="0.2">
      <c r="A829" s="62">
        <f ca="1">IFERROR(__xludf.DUMMYFUNCTION("""COMPUTED_VALUE"""),20140171)</f>
        <v>20140171</v>
      </c>
      <c r="B829" s="62" t="str">
        <f ca="1">IFERROR(__xludf.DUMMYFUNCTION("""COMPUTED_VALUE"""),"Teclado Apple A2179 Ingles")</f>
        <v>Teclado Apple A2179 Ingles</v>
      </c>
      <c r="C829" s="75">
        <f ca="1">IFERROR(__xludf.DUMMYFUNCTION("""COMPUTED_VALUE"""),390)</f>
        <v>390</v>
      </c>
      <c r="D829" s="75">
        <f ca="1">IFERROR(__xludf.DUMMYFUNCTION("""COMPUTED_VALUE"""),100)</f>
        <v>100</v>
      </c>
      <c r="E829" s="76">
        <f ca="1">IFERROR(__xludf.DUMMYFUNCTION("""COMPUTED_VALUE"""),490)</f>
        <v>490</v>
      </c>
      <c r="F829" s="77">
        <f ca="1">IFERROR(__xludf.DUMMYFUNCTION("""COMPUTED_VALUE"""),20140171)</f>
        <v>20140171</v>
      </c>
      <c r="G829" s="77" t="str">
        <f t="shared" ca="1" si="3"/>
        <v>si</v>
      </c>
    </row>
    <row r="830" spans="1:7" ht="12.75" x14ac:dyDescent="0.2">
      <c r="A830" s="62">
        <f ca="1">IFERROR(__xludf.DUMMYFUNCTION("""COMPUTED_VALUE"""),20140172)</f>
        <v>20140172</v>
      </c>
      <c r="B830" s="62" t="str">
        <f ca="1">IFERROR(__xludf.DUMMYFUNCTION("""COMPUTED_VALUE"""),"Teclado Apple A2338 Ingles")</f>
        <v>Teclado Apple A2338 Ingles</v>
      </c>
      <c r="C830" s="75">
        <f ca="1">IFERROR(__xludf.DUMMYFUNCTION("""COMPUTED_VALUE"""),390)</f>
        <v>390</v>
      </c>
      <c r="D830" s="75">
        <f ca="1">IFERROR(__xludf.DUMMYFUNCTION("""COMPUTED_VALUE"""),100)</f>
        <v>100</v>
      </c>
      <c r="E830" s="76">
        <f ca="1">IFERROR(__xludf.DUMMYFUNCTION("""COMPUTED_VALUE"""),490)</f>
        <v>490</v>
      </c>
      <c r="F830" s="77">
        <f ca="1">IFERROR(__xludf.DUMMYFUNCTION("""COMPUTED_VALUE"""),20140172)</f>
        <v>20140172</v>
      </c>
      <c r="G830" s="77" t="str">
        <f t="shared" ca="1" si="3"/>
        <v>si</v>
      </c>
    </row>
    <row r="831" spans="1:7" ht="12.75" x14ac:dyDescent="0.2">
      <c r="A831" s="62">
        <f ca="1">IFERROR(__xludf.DUMMYFUNCTION("""COMPUTED_VALUE"""),20140173)</f>
        <v>20140173</v>
      </c>
      <c r="B831" s="62" t="str">
        <f ca="1">IFERROR(__xludf.DUMMYFUNCTION("""COMPUTED_VALUE"""),"Teclado Apple A2289 Ingles")</f>
        <v>Teclado Apple A2289 Ingles</v>
      </c>
      <c r="C831" s="75">
        <f ca="1">IFERROR(__xludf.DUMMYFUNCTION("""COMPUTED_VALUE"""),390)</f>
        <v>390</v>
      </c>
      <c r="D831" s="75">
        <f ca="1">IFERROR(__xludf.DUMMYFUNCTION("""COMPUTED_VALUE"""),100)</f>
        <v>100</v>
      </c>
      <c r="E831" s="76">
        <f ca="1">IFERROR(__xludf.DUMMYFUNCTION("""COMPUTED_VALUE"""),490)</f>
        <v>490</v>
      </c>
      <c r="F831" s="77">
        <f ca="1">IFERROR(__xludf.DUMMYFUNCTION("""COMPUTED_VALUE"""),20140173)</f>
        <v>20140173</v>
      </c>
      <c r="G831" s="77" t="str">
        <f t="shared" ca="1" si="3"/>
        <v>si</v>
      </c>
    </row>
    <row r="832" spans="1:7" ht="12.75" x14ac:dyDescent="0.2">
      <c r="A832" s="62">
        <f ca="1">IFERROR(__xludf.DUMMYFUNCTION("""COMPUTED_VALUE"""),20010037)</f>
        <v>20010037</v>
      </c>
      <c r="B832" s="62" t="str">
        <f ca="1">IFERROR(__xludf.DUMMYFUNCTION("""COMPUTED_VALUE"""),"Teclado Toshiba L45 - B Ingles Internos")</f>
        <v>Teclado Toshiba L45 - B Ingles Internos</v>
      </c>
      <c r="C832" s="75">
        <f ca="1">IFERROR(__xludf.DUMMYFUNCTION("""COMPUTED_VALUE"""),100)</f>
        <v>100</v>
      </c>
      <c r="D832" s="75">
        <f ca="1">IFERROR(__xludf.DUMMYFUNCTION("""COMPUTED_VALUE"""),30)</f>
        <v>30</v>
      </c>
      <c r="E832" s="76">
        <f ca="1">IFERROR(__xludf.DUMMYFUNCTION("""COMPUTED_VALUE"""),130)</f>
        <v>130</v>
      </c>
      <c r="F832" s="77">
        <f ca="1">IFERROR(__xludf.DUMMYFUNCTION("""COMPUTED_VALUE"""),20010037)</f>
        <v>20010037</v>
      </c>
      <c r="G832" s="77" t="str">
        <f t="shared" ca="1" si="3"/>
        <v>si</v>
      </c>
    </row>
    <row r="833" spans="1:7" ht="12.75" x14ac:dyDescent="0.2">
      <c r="A833" s="62">
        <f ca="1">IFERROR(__xludf.DUMMYFUNCTION("""COMPUTED_VALUE"""),20010038)</f>
        <v>20010038</v>
      </c>
      <c r="B833" s="62" t="str">
        <f ca="1">IFERROR(__xludf.DUMMYFUNCTION("""COMPUTED_VALUE"""),"Teclado Toshiba L45 - B Retroiluminado Español")</f>
        <v>Teclado Toshiba L45 - B Retroiluminado Español</v>
      </c>
      <c r="C833" s="75">
        <f ca="1">IFERROR(__xludf.DUMMYFUNCTION("""COMPUTED_VALUE"""),100)</f>
        <v>100</v>
      </c>
      <c r="D833" s="75">
        <f ca="1">IFERROR(__xludf.DUMMYFUNCTION("""COMPUTED_VALUE"""),30)</f>
        <v>30</v>
      </c>
      <c r="E833" s="76">
        <f ca="1">IFERROR(__xludf.DUMMYFUNCTION("""COMPUTED_VALUE"""),130)</f>
        <v>130</v>
      </c>
      <c r="F833" s="77">
        <f ca="1">IFERROR(__xludf.DUMMYFUNCTION("""COMPUTED_VALUE"""),20010038)</f>
        <v>20010038</v>
      </c>
      <c r="G833" s="77" t="str">
        <f t="shared" ca="1" si="3"/>
        <v>si</v>
      </c>
    </row>
    <row r="834" spans="1:7" ht="12.75" x14ac:dyDescent="0.2">
      <c r="A834" s="62">
        <f ca="1">IFERROR(__xludf.DUMMYFUNCTION("""COMPUTED_VALUE"""),20010042)</f>
        <v>20010042</v>
      </c>
      <c r="B834" s="62" t="str">
        <f ca="1">IFERROR(__xludf.DUMMYFUNCTION("""COMPUTED_VALUE"""),"Teclado Toshiba M200")</f>
        <v>Teclado Toshiba M200</v>
      </c>
      <c r="C834" s="75">
        <f ca="1">IFERROR(__xludf.DUMMYFUNCTION("""COMPUTED_VALUE"""),45)</f>
        <v>45</v>
      </c>
      <c r="D834" s="75">
        <f ca="1">IFERROR(__xludf.DUMMYFUNCTION("""COMPUTED_VALUE"""),30)</f>
        <v>30</v>
      </c>
      <c r="E834" s="76">
        <f ca="1">IFERROR(__xludf.DUMMYFUNCTION("""COMPUTED_VALUE"""),75)</f>
        <v>75</v>
      </c>
      <c r="F834" s="77">
        <f ca="1">IFERROR(__xludf.DUMMYFUNCTION("""COMPUTED_VALUE"""),20010042)</f>
        <v>20010042</v>
      </c>
      <c r="G834" s="77" t="str">
        <f t="shared" ca="1" si="3"/>
        <v>si</v>
      </c>
    </row>
    <row r="835" spans="1:7" ht="12.75" x14ac:dyDescent="0.2">
      <c r="A835" s="62">
        <f ca="1">IFERROR(__xludf.DUMMYFUNCTION("""COMPUTED_VALUE"""),20010036)</f>
        <v>20010036</v>
      </c>
      <c r="B835" s="62" t="str">
        <f ca="1">IFERROR(__xludf.DUMMYFUNCTION("""COMPUTED_VALUE"""),"Teclado Toshiba C850")</f>
        <v>Teclado Toshiba C850</v>
      </c>
      <c r="C835" s="75">
        <f ca="1">IFERROR(__xludf.DUMMYFUNCTION("""COMPUTED_VALUE"""),45)</f>
        <v>45</v>
      </c>
      <c r="D835" s="75">
        <f ca="1">IFERROR(__xludf.DUMMYFUNCTION("""COMPUTED_VALUE"""),30)</f>
        <v>30</v>
      </c>
      <c r="E835" s="76">
        <f ca="1">IFERROR(__xludf.DUMMYFUNCTION("""COMPUTED_VALUE"""),75)</f>
        <v>75</v>
      </c>
      <c r="F835" s="77">
        <f ca="1">IFERROR(__xludf.DUMMYFUNCTION("""COMPUTED_VALUE"""),20010036)</f>
        <v>20010036</v>
      </c>
      <c r="G835" s="77" t="str">
        <f t="shared" ca="1" si="3"/>
        <v>si</v>
      </c>
    </row>
    <row r="836" spans="1:7" ht="12.75" x14ac:dyDescent="0.2">
      <c r="A836" s="62">
        <f ca="1">IFERROR(__xludf.DUMMYFUNCTION("""COMPUTED_VALUE"""),20010035)</f>
        <v>20010035</v>
      </c>
      <c r="B836" s="62" t="str">
        <f ca="1">IFERROR(__xludf.DUMMYFUNCTION("""COMPUTED_VALUE"""),"Teclado Toshiba C45 - B Externo")</f>
        <v>Teclado Toshiba C45 - B Externo</v>
      </c>
      <c r="C836" s="75">
        <f ca="1">IFERROR(__xludf.DUMMYFUNCTION("""COMPUTED_VALUE"""),45)</f>
        <v>45</v>
      </c>
      <c r="D836" s="75">
        <f ca="1">IFERROR(__xludf.DUMMYFUNCTION("""COMPUTED_VALUE"""),30)</f>
        <v>30</v>
      </c>
      <c r="E836" s="76">
        <f ca="1">IFERROR(__xludf.DUMMYFUNCTION("""COMPUTED_VALUE"""),75)</f>
        <v>75</v>
      </c>
      <c r="F836" s="77">
        <f ca="1">IFERROR(__xludf.DUMMYFUNCTION("""COMPUTED_VALUE"""),20010035)</f>
        <v>20010035</v>
      </c>
      <c r="G836" s="77" t="str">
        <f t="shared" ca="1" si="3"/>
        <v>si</v>
      </c>
    </row>
    <row r="837" spans="1:7" ht="12.75" x14ac:dyDescent="0.2">
      <c r="A837" s="62">
        <f ca="1">IFERROR(__xludf.DUMMYFUNCTION("""COMPUTED_VALUE"""),20010044)</f>
        <v>20010044</v>
      </c>
      <c r="B837" s="62" t="str">
        <f ca="1">IFERROR(__xludf.DUMMYFUNCTION("""COMPUTED_VALUE"""),"Teclado Toshiba P750")</f>
        <v>Teclado Toshiba P750</v>
      </c>
      <c r="C837" s="75">
        <f ca="1">IFERROR(__xludf.DUMMYFUNCTION("""COMPUTED_VALUE"""),45)</f>
        <v>45</v>
      </c>
      <c r="D837" s="75">
        <f ca="1">IFERROR(__xludf.DUMMYFUNCTION("""COMPUTED_VALUE"""),30)</f>
        <v>30</v>
      </c>
      <c r="E837" s="76">
        <f ca="1">IFERROR(__xludf.DUMMYFUNCTION("""COMPUTED_VALUE"""),75)</f>
        <v>75</v>
      </c>
      <c r="F837" s="77">
        <f ca="1">IFERROR(__xludf.DUMMYFUNCTION("""COMPUTED_VALUE"""),20010044)</f>
        <v>20010044</v>
      </c>
      <c r="G837" s="77" t="str">
        <f t="shared" ca="1" si="3"/>
        <v>si</v>
      </c>
    </row>
    <row r="838" spans="1:7" ht="12.75" x14ac:dyDescent="0.2">
      <c r="A838" s="62">
        <f ca="1">IFERROR(__xludf.DUMMYFUNCTION("""COMPUTED_VALUE"""),20010040)</f>
        <v>20010040</v>
      </c>
      <c r="B838" s="62" t="str">
        <f ca="1">IFERROR(__xludf.DUMMYFUNCTION("""COMPUTED_VALUE"""),"Teclado Toshiba L655")</f>
        <v>Teclado Toshiba L655</v>
      </c>
      <c r="C838" s="75">
        <f ca="1">IFERROR(__xludf.DUMMYFUNCTION("""COMPUTED_VALUE"""),45)</f>
        <v>45</v>
      </c>
      <c r="D838" s="75">
        <f ca="1">IFERROR(__xludf.DUMMYFUNCTION("""COMPUTED_VALUE"""),30)</f>
        <v>30</v>
      </c>
      <c r="E838" s="76">
        <f ca="1">IFERROR(__xludf.DUMMYFUNCTION("""COMPUTED_VALUE"""),75)</f>
        <v>75</v>
      </c>
      <c r="F838" s="77">
        <f ca="1">IFERROR(__xludf.DUMMYFUNCTION("""COMPUTED_VALUE"""),20010040)</f>
        <v>20010040</v>
      </c>
      <c r="G838" s="77" t="str">
        <f t="shared" ca="1" si="3"/>
        <v>si</v>
      </c>
    </row>
    <row r="839" spans="1:7" ht="12.75" x14ac:dyDescent="0.2">
      <c r="A839" s="62">
        <f ca="1">IFERROR(__xludf.DUMMYFUNCTION("""COMPUTED_VALUE"""),20010039)</f>
        <v>20010039</v>
      </c>
      <c r="B839" s="62" t="str">
        <f ca="1">IFERROR(__xludf.DUMMYFUNCTION("""COMPUTED_VALUE"""),"Teclado Toshiba L645")</f>
        <v>Teclado Toshiba L645</v>
      </c>
      <c r="C839" s="75">
        <f ca="1">IFERROR(__xludf.DUMMYFUNCTION("""COMPUTED_VALUE"""),45)</f>
        <v>45</v>
      </c>
      <c r="D839" s="75">
        <f ca="1">IFERROR(__xludf.DUMMYFUNCTION("""COMPUTED_VALUE"""),30)</f>
        <v>30</v>
      </c>
      <c r="E839" s="76">
        <f ca="1">IFERROR(__xludf.DUMMYFUNCTION("""COMPUTED_VALUE"""),75)</f>
        <v>75</v>
      </c>
      <c r="F839" s="77">
        <f ca="1">IFERROR(__xludf.DUMMYFUNCTION("""COMPUTED_VALUE"""),20010039)</f>
        <v>20010039</v>
      </c>
      <c r="G839" s="77" t="str">
        <f t="shared" ca="1" si="3"/>
        <v>si</v>
      </c>
    </row>
    <row r="840" spans="1:7" ht="12.75" x14ac:dyDescent="0.2">
      <c r="A840" s="62">
        <f ca="1">IFERROR(__xludf.DUMMYFUNCTION("""COMPUTED_VALUE"""),20010034)</f>
        <v>20010034</v>
      </c>
      <c r="B840" s="62" t="str">
        <f ca="1">IFERROR(__xludf.DUMMYFUNCTION("""COMPUTED_VALUE"""),"Teclado Toshiba A200")</f>
        <v>Teclado Toshiba A200</v>
      </c>
      <c r="C840" s="75">
        <f ca="1">IFERROR(__xludf.DUMMYFUNCTION("""COMPUTED_VALUE"""),45)</f>
        <v>45</v>
      </c>
      <c r="D840" s="75">
        <f ca="1">IFERROR(__xludf.DUMMYFUNCTION("""COMPUTED_VALUE"""),30)</f>
        <v>30</v>
      </c>
      <c r="E840" s="76">
        <f ca="1">IFERROR(__xludf.DUMMYFUNCTION("""COMPUTED_VALUE"""),75)</f>
        <v>75</v>
      </c>
      <c r="F840" s="77">
        <f ca="1">IFERROR(__xludf.DUMMYFUNCTION("""COMPUTED_VALUE"""),20010034)</f>
        <v>20010034</v>
      </c>
      <c r="G840" s="77" t="str">
        <f t="shared" ca="1" si="3"/>
        <v>si</v>
      </c>
    </row>
    <row r="841" spans="1:7" ht="12.75" x14ac:dyDescent="0.2">
      <c r="A841" s="62">
        <f ca="1">IFERROR(__xludf.DUMMYFUNCTION("""COMPUTED_VALUE"""),20010041)</f>
        <v>20010041</v>
      </c>
      <c r="B841" s="62" t="str">
        <f ca="1">IFERROR(__xludf.DUMMYFUNCTION("""COMPUTED_VALUE"""),"Teclado Toshiba L850")</f>
        <v>Teclado Toshiba L850</v>
      </c>
      <c r="C841" s="75">
        <f ca="1">IFERROR(__xludf.DUMMYFUNCTION("""COMPUTED_VALUE"""),45)</f>
        <v>45</v>
      </c>
      <c r="D841" s="75">
        <f ca="1">IFERROR(__xludf.DUMMYFUNCTION("""COMPUTED_VALUE"""),30)</f>
        <v>30</v>
      </c>
      <c r="E841" s="76">
        <f ca="1">IFERROR(__xludf.DUMMYFUNCTION("""COMPUTED_VALUE"""),75)</f>
        <v>75</v>
      </c>
      <c r="F841" s="77">
        <f ca="1">IFERROR(__xludf.DUMMYFUNCTION("""COMPUTED_VALUE"""),20010041)</f>
        <v>20010041</v>
      </c>
      <c r="G841" s="77" t="str">
        <f t="shared" ca="1" si="3"/>
        <v>si</v>
      </c>
    </row>
    <row r="842" spans="1:7" ht="12.75" x14ac:dyDescent="0.2">
      <c r="A842" s="62">
        <f ca="1">IFERROR(__xludf.DUMMYFUNCTION("""COMPUTED_VALUE"""),20010043)</f>
        <v>20010043</v>
      </c>
      <c r="B842" s="62" t="str">
        <f ca="1">IFERROR(__xludf.DUMMYFUNCTION("""COMPUTED_VALUE"""),"Teclado Toshiba NB200")</f>
        <v>Teclado Toshiba NB200</v>
      </c>
      <c r="C842" s="75">
        <f ca="1">IFERROR(__xludf.DUMMYFUNCTION("""COMPUTED_VALUE"""),45)</f>
        <v>45</v>
      </c>
      <c r="D842" s="75">
        <f ca="1">IFERROR(__xludf.DUMMYFUNCTION("""COMPUTED_VALUE"""),30)</f>
        <v>30</v>
      </c>
      <c r="E842" s="76">
        <f ca="1">IFERROR(__xludf.DUMMYFUNCTION("""COMPUTED_VALUE"""),75)</f>
        <v>75</v>
      </c>
      <c r="F842" s="77">
        <f ca="1">IFERROR(__xludf.DUMMYFUNCTION("""COMPUTED_VALUE"""),20010043)</f>
        <v>20010043</v>
      </c>
      <c r="G842" s="77" t="str">
        <f t="shared" ca="1" si="3"/>
        <v>si</v>
      </c>
    </row>
    <row r="843" spans="1:7" ht="12.75" x14ac:dyDescent="0.2">
      <c r="A843" s="62">
        <f ca="1">IFERROR(__xludf.DUMMYFUNCTION("""COMPUTED_VALUE"""),20010025)</f>
        <v>20010025</v>
      </c>
      <c r="B843" s="62" t="str">
        <f ca="1">IFERROR(__xludf.DUMMYFUNCTION("""COMPUTED_VALUE"""),"Teclado Lenovo Tinkpad T430 / t530")</f>
        <v>Teclado Lenovo Tinkpad T430 / t530</v>
      </c>
      <c r="C843" s="75">
        <f ca="1">IFERROR(__xludf.DUMMYFUNCTION("""COMPUTED_VALUE"""),140)</f>
        <v>140</v>
      </c>
      <c r="D843" s="75">
        <f ca="1">IFERROR(__xludf.DUMMYFUNCTION("""COMPUTED_VALUE"""),30)</f>
        <v>30</v>
      </c>
      <c r="E843" s="76">
        <f ca="1">IFERROR(__xludf.DUMMYFUNCTION("""COMPUTED_VALUE"""),170)</f>
        <v>170</v>
      </c>
      <c r="F843" s="77">
        <f ca="1">IFERROR(__xludf.DUMMYFUNCTION("""COMPUTED_VALUE"""),20010025)</f>
        <v>20010025</v>
      </c>
      <c r="G843" s="77" t="str">
        <f t="shared" ca="1" si="3"/>
        <v>si</v>
      </c>
    </row>
    <row r="844" spans="1:7" ht="12.75" x14ac:dyDescent="0.2">
      <c r="A844" s="62">
        <f ca="1">IFERROR(__xludf.DUMMYFUNCTION("""COMPUTED_VALUE"""),20010027)</f>
        <v>20010027</v>
      </c>
      <c r="B844" s="62" t="str">
        <f ca="1">IFERROR(__xludf.DUMMYFUNCTION("""COMPUTED_VALUE"""),"Teclado Lenovo Yoga 730-13IKB ")</f>
        <v xml:space="preserve">Teclado Lenovo Yoga 730-13IKB </v>
      </c>
      <c r="C844" s="75">
        <f ca="1">IFERROR(__xludf.DUMMYFUNCTION("""COMPUTED_VALUE"""),140)</f>
        <v>140</v>
      </c>
      <c r="D844" s="75">
        <f ca="1">IFERROR(__xludf.DUMMYFUNCTION("""COMPUTED_VALUE"""),30)</f>
        <v>30</v>
      </c>
      <c r="E844" s="76">
        <f ca="1">IFERROR(__xludf.DUMMYFUNCTION("""COMPUTED_VALUE"""),170)</f>
        <v>170</v>
      </c>
      <c r="F844" s="77">
        <f ca="1">IFERROR(__xludf.DUMMYFUNCTION("""COMPUTED_VALUE"""),20010027)</f>
        <v>20010027</v>
      </c>
      <c r="G844" s="77" t="str">
        <f t="shared" ca="1" si="3"/>
        <v>si</v>
      </c>
    </row>
    <row r="845" spans="1:7" ht="12.75" x14ac:dyDescent="0.2">
      <c r="A845" s="62">
        <f ca="1">IFERROR(__xludf.DUMMYFUNCTION("""COMPUTED_VALUE"""),20010024)</f>
        <v>20010024</v>
      </c>
      <c r="B845" s="62" t="str">
        <f ca="1">IFERROR(__xludf.DUMMYFUNCTION("""COMPUTED_VALUE"""),"Teclado Lenovo G840 / g480")</f>
        <v>Teclado Lenovo G840 / g480</v>
      </c>
      <c r="C845" s="75">
        <f ca="1">IFERROR(__xludf.DUMMYFUNCTION("""COMPUTED_VALUE"""),45)</f>
        <v>45</v>
      </c>
      <c r="D845" s="75">
        <f ca="1">IFERROR(__xludf.DUMMYFUNCTION("""COMPUTED_VALUE"""),30)</f>
        <v>30</v>
      </c>
      <c r="E845" s="76">
        <f ca="1">IFERROR(__xludf.DUMMYFUNCTION("""COMPUTED_VALUE"""),75)</f>
        <v>75</v>
      </c>
      <c r="F845" s="77">
        <f ca="1">IFERROR(__xludf.DUMMYFUNCTION("""COMPUTED_VALUE"""),20010024)</f>
        <v>20010024</v>
      </c>
      <c r="G845" s="77" t="str">
        <f t="shared" ca="1" si="3"/>
        <v>si</v>
      </c>
    </row>
    <row r="846" spans="1:7" ht="12.75" x14ac:dyDescent="0.2">
      <c r="A846" s="62">
        <f ca="1">IFERROR(__xludf.DUMMYFUNCTION("""COMPUTED_VALUE"""),20010022)</f>
        <v>20010022</v>
      </c>
      <c r="B846" s="62" t="str">
        <f ca="1">IFERROR(__xludf.DUMMYFUNCTION("""COMPUTED_VALUE"""),"Teclado Lenovo 6470")</f>
        <v>Teclado Lenovo 6470</v>
      </c>
      <c r="C846" s="75">
        <f ca="1">IFERROR(__xludf.DUMMYFUNCTION("""COMPUTED_VALUE"""),45)</f>
        <v>45</v>
      </c>
      <c r="D846" s="75">
        <f ca="1">IFERROR(__xludf.DUMMYFUNCTION("""COMPUTED_VALUE"""),30)</f>
        <v>30</v>
      </c>
      <c r="E846" s="76">
        <f ca="1">IFERROR(__xludf.DUMMYFUNCTION("""COMPUTED_VALUE"""),75)</f>
        <v>75</v>
      </c>
      <c r="F846" s="77">
        <f ca="1">IFERROR(__xludf.DUMMYFUNCTION("""COMPUTED_VALUE"""),20010022)</f>
        <v>20010022</v>
      </c>
      <c r="G846" s="77" t="str">
        <f t="shared" ca="1" si="3"/>
        <v>si</v>
      </c>
    </row>
    <row r="847" spans="1:7" ht="12.75" x14ac:dyDescent="0.2">
      <c r="A847" s="62">
        <f ca="1">IFERROR(__xludf.DUMMYFUNCTION("""COMPUTED_VALUE"""),20010021)</f>
        <v>20010021</v>
      </c>
      <c r="B847" s="62" t="str">
        <f ca="1">IFERROR(__xludf.DUMMYFUNCTION("""COMPUTED_VALUE"""),"Teclado Lenovo 6400S")</f>
        <v>Teclado Lenovo 6400S</v>
      </c>
      <c r="C847" s="75">
        <f ca="1">IFERROR(__xludf.DUMMYFUNCTION("""COMPUTED_VALUE"""),45)</f>
        <v>45</v>
      </c>
      <c r="D847" s="75">
        <f ca="1">IFERROR(__xludf.DUMMYFUNCTION("""COMPUTED_VALUE"""),30)</f>
        <v>30</v>
      </c>
      <c r="E847" s="76">
        <f ca="1">IFERROR(__xludf.DUMMYFUNCTION("""COMPUTED_VALUE"""),75)</f>
        <v>75</v>
      </c>
      <c r="F847" s="77">
        <f ca="1">IFERROR(__xludf.DUMMYFUNCTION("""COMPUTED_VALUE"""),20010021)</f>
        <v>20010021</v>
      </c>
      <c r="G847" s="77" t="str">
        <f t="shared" ca="1" si="3"/>
        <v>si</v>
      </c>
    </row>
    <row r="848" spans="1:7" ht="12.75" x14ac:dyDescent="0.2">
      <c r="A848" s="62">
        <f ca="1">IFERROR(__xludf.DUMMYFUNCTION("""COMPUTED_VALUE"""),20010028)</f>
        <v>20010028</v>
      </c>
      <c r="B848" s="62" t="str">
        <f ca="1">IFERROR(__xludf.DUMMYFUNCTION("""COMPUTED_VALUE"""),"Teclado Lenovo Z360")</f>
        <v>Teclado Lenovo Z360</v>
      </c>
      <c r="C848" s="75">
        <f ca="1">IFERROR(__xludf.DUMMYFUNCTION("""COMPUTED_VALUE"""),45)</f>
        <v>45</v>
      </c>
      <c r="D848" s="75">
        <f ca="1">IFERROR(__xludf.DUMMYFUNCTION("""COMPUTED_VALUE"""),30)</f>
        <v>30</v>
      </c>
      <c r="E848" s="76">
        <f ca="1">IFERROR(__xludf.DUMMYFUNCTION("""COMPUTED_VALUE"""),75)</f>
        <v>75</v>
      </c>
      <c r="F848" s="77">
        <f ca="1">IFERROR(__xludf.DUMMYFUNCTION("""COMPUTED_VALUE"""),20010028)</f>
        <v>20010028</v>
      </c>
      <c r="G848" s="77" t="str">
        <f t="shared" ca="1" si="3"/>
        <v>si</v>
      </c>
    </row>
    <row r="849" spans="1:7" ht="12.75" x14ac:dyDescent="0.2">
      <c r="A849" s="62">
        <f ca="1">IFERROR(__xludf.DUMMYFUNCTION("""COMPUTED_VALUE"""),20010026)</f>
        <v>20010026</v>
      </c>
      <c r="B849" s="62" t="str">
        <f ca="1">IFERROR(__xludf.DUMMYFUNCTION("""COMPUTED_VALUE"""),"Teclado Lenovo U310")</f>
        <v>Teclado Lenovo U310</v>
      </c>
      <c r="C849" s="75">
        <f ca="1">IFERROR(__xludf.DUMMYFUNCTION("""COMPUTED_VALUE"""),45)</f>
        <v>45</v>
      </c>
      <c r="D849" s="75">
        <f ca="1">IFERROR(__xludf.DUMMYFUNCTION("""COMPUTED_VALUE"""),30)</f>
        <v>30</v>
      </c>
      <c r="E849" s="76">
        <f ca="1">IFERROR(__xludf.DUMMYFUNCTION("""COMPUTED_VALUE"""),75)</f>
        <v>75</v>
      </c>
      <c r="F849" s="77">
        <f ca="1">IFERROR(__xludf.DUMMYFUNCTION("""COMPUTED_VALUE"""),20010026)</f>
        <v>20010026</v>
      </c>
      <c r="G849" s="77" t="str">
        <f t="shared" ca="1" si="3"/>
        <v>si</v>
      </c>
    </row>
    <row r="850" spans="1:7" ht="12.75" x14ac:dyDescent="0.2">
      <c r="A850" s="62">
        <f ca="1">IFERROR(__xludf.DUMMYFUNCTION("""COMPUTED_VALUE"""),20010023)</f>
        <v>20010023</v>
      </c>
      <c r="B850" s="62" t="str">
        <f ca="1">IFERROR(__xludf.DUMMYFUNCTION("""COMPUTED_VALUE"""),"Teclado Lenovo G580")</f>
        <v>Teclado Lenovo G580</v>
      </c>
      <c r="C850" s="75">
        <f ca="1">IFERROR(__xludf.DUMMYFUNCTION("""COMPUTED_VALUE"""),45)</f>
        <v>45</v>
      </c>
      <c r="D850" s="75">
        <f ca="1">IFERROR(__xludf.DUMMYFUNCTION("""COMPUTED_VALUE"""),30)</f>
        <v>30</v>
      </c>
      <c r="E850" s="76">
        <f ca="1">IFERROR(__xludf.DUMMYFUNCTION("""COMPUTED_VALUE"""),75)</f>
        <v>75</v>
      </c>
      <c r="F850" s="77">
        <f ca="1">IFERROR(__xludf.DUMMYFUNCTION("""COMPUTED_VALUE"""),20010023)</f>
        <v>20010023</v>
      </c>
      <c r="G850" s="77" t="str">
        <f t="shared" ca="1" si="3"/>
        <v>si</v>
      </c>
    </row>
    <row r="851" spans="1:7" ht="12.75" x14ac:dyDescent="0.2">
      <c r="A851" s="62">
        <f ca="1">IFERROR(__xludf.DUMMYFUNCTION("""COMPUTED_VALUE"""),20010033)</f>
        <v>20010033</v>
      </c>
      <c r="B851" s="62" t="str">
        <f ca="1">IFERROR(__xludf.DUMMYFUNCTION("""COMPUTED_VALUE"""),"Teclado Lenovo Z570")</f>
        <v>Teclado Lenovo Z570</v>
      </c>
      <c r="C851" s="75">
        <f ca="1">IFERROR(__xludf.DUMMYFUNCTION("""COMPUTED_VALUE"""),45)</f>
        <v>45</v>
      </c>
      <c r="D851" s="75">
        <f ca="1">IFERROR(__xludf.DUMMYFUNCTION("""COMPUTED_VALUE"""),30)</f>
        <v>30</v>
      </c>
      <c r="E851" s="76">
        <f ca="1">IFERROR(__xludf.DUMMYFUNCTION("""COMPUTED_VALUE"""),75)</f>
        <v>75</v>
      </c>
      <c r="F851" s="77">
        <f ca="1">IFERROR(__xludf.DUMMYFUNCTION("""COMPUTED_VALUE"""),20010033)</f>
        <v>20010033</v>
      </c>
      <c r="G851" s="77" t="str">
        <f t="shared" ca="1" si="3"/>
        <v>si</v>
      </c>
    </row>
    <row r="852" spans="1:7" ht="12.75" x14ac:dyDescent="0.2">
      <c r="A852" s="62">
        <f ca="1">IFERROR(__xludf.DUMMYFUNCTION("""COMPUTED_VALUE"""),20010032)</f>
        <v>20010032</v>
      </c>
      <c r="B852" s="62" t="str">
        <f ca="1">IFERROR(__xludf.DUMMYFUNCTION("""COMPUTED_VALUE"""),"Teclado Lenovo Z500A")</f>
        <v>Teclado Lenovo Z500A</v>
      </c>
      <c r="C852" s="75">
        <f ca="1">IFERROR(__xludf.DUMMYFUNCTION("""COMPUTED_VALUE"""),45)</f>
        <v>45</v>
      </c>
      <c r="D852" s="75">
        <f ca="1">IFERROR(__xludf.DUMMYFUNCTION("""COMPUTED_VALUE"""),30)</f>
        <v>30</v>
      </c>
      <c r="E852" s="76">
        <f ca="1">IFERROR(__xludf.DUMMYFUNCTION("""COMPUTED_VALUE"""),75)</f>
        <v>75</v>
      </c>
      <c r="F852" s="77">
        <f ca="1">IFERROR(__xludf.DUMMYFUNCTION("""COMPUTED_VALUE"""),20010032)</f>
        <v>20010032</v>
      </c>
      <c r="G852" s="77" t="str">
        <f t="shared" ca="1" si="3"/>
        <v>si</v>
      </c>
    </row>
    <row r="853" spans="1:7" ht="12.75" x14ac:dyDescent="0.2">
      <c r="A853" s="62">
        <f ca="1">IFERROR(__xludf.DUMMYFUNCTION("""COMPUTED_VALUE"""),20010029)</f>
        <v>20010029</v>
      </c>
      <c r="B853" s="62" t="str">
        <f ca="1">IFERROR(__xludf.DUMMYFUNCTION("""COMPUTED_VALUE"""),"Teclado Lenovo Z400")</f>
        <v>Teclado Lenovo Z400</v>
      </c>
      <c r="C853" s="75">
        <f ca="1">IFERROR(__xludf.DUMMYFUNCTION("""COMPUTED_VALUE"""),45)</f>
        <v>45</v>
      </c>
      <c r="D853" s="75">
        <f ca="1">IFERROR(__xludf.DUMMYFUNCTION("""COMPUTED_VALUE"""),30)</f>
        <v>30</v>
      </c>
      <c r="E853" s="76">
        <f ca="1">IFERROR(__xludf.DUMMYFUNCTION("""COMPUTED_VALUE"""),75)</f>
        <v>75</v>
      </c>
      <c r="F853" s="77">
        <f ca="1">IFERROR(__xludf.DUMMYFUNCTION("""COMPUTED_VALUE"""),20010029)</f>
        <v>20010029</v>
      </c>
      <c r="G853" s="77" t="str">
        <f t="shared" ca="1" si="3"/>
        <v>si</v>
      </c>
    </row>
    <row r="854" spans="1:7" ht="12.75" x14ac:dyDescent="0.2">
      <c r="A854" s="62">
        <f ca="1">IFERROR(__xludf.DUMMYFUNCTION("""COMPUTED_VALUE"""),20010031)</f>
        <v>20010031</v>
      </c>
      <c r="B854" s="62" t="str">
        <f ca="1">IFERROR(__xludf.DUMMYFUNCTION("""COMPUTED_VALUE"""),"Teclado Lenovo Z470")</f>
        <v>Teclado Lenovo Z470</v>
      </c>
      <c r="C854" s="75">
        <f ca="1">IFERROR(__xludf.DUMMYFUNCTION("""COMPUTED_VALUE"""),45)</f>
        <v>45</v>
      </c>
      <c r="D854" s="75">
        <f ca="1">IFERROR(__xludf.DUMMYFUNCTION("""COMPUTED_VALUE"""),30)</f>
        <v>30</v>
      </c>
      <c r="E854" s="76">
        <f ca="1">IFERROR(__xludf.DUMMYFUNCTION("""COMPUTED_VALUE"""),75)</f>
        <v>75</v>
      </c>
      <c r="F854" s="77">
        <f ca="1">IFERROR(__xludf.DUMMYFUNCTION("""COMPUTED_VALUE"""),20010031)</f>
        <v>20010031</v>
      </c>
      <c r="G854" s="77" t="str">
        <f t="shared" ca="1" si="3"/>
        <v>si</v>
      </c>
    </row>
    <row r="855" spans="1:7" ht="12.75" x14ac:dyDescent="0.2">
      <c r="A855" s="62">
        <f ca="1">IFERROR(__xludf.DUMMYFUNCTION("""COMPUTED_VALUE"""),20010030)</f>
        <v>20010030</v>
      </c>
      <c r="B855" s="62" t="str">
        <f ca="1">IFERROR(__xludf.DUMMYFUNCTION("""COMPUTED_VALUE"""),"Teclado Lenovo G460")</f>
        <v>Teclado Lenovo G460</v>
      </c>
      <c r="C855" s="75">
        <f ca="1">IFERROR(__xludf.DUMMYFUNCTION("""COMPUTED_VALUE"""),45)</f>
        <v>45</v>
      </c>
      <c r="D855" s="75">
        <f ca="1">IFERROR(__xludf.DUMMYFUNCTION("""COMPUTED_VALUE"""),30)</f>
        <v>30</v>
      </c>
      <c r="E855" s="76">
        <f ca="1">IFERROR(__xludf.DUMMYFUNCTION("""COMPUTED_VALUE"""),75)</f>
        <v>75</v>
      </c>
      <c r="F855" s="77">
        <f ca="1">IFERROR(__xludf.DUMMYFUNCTION("""COMPUTED_VALUE"""),20010030)</f>
        <v>20010030</v>
      </c>
      <c r="G855" s="77" t="str">
        <f t="shared" ca="1" si="3"/>
        <v>si</v>
      </c>
    </row>
    <row r="856" spans="1:7" ht="12.75" x14ac:dyDescent="0.2">
      <c r="A856" s="62">
        <f ca="1">IFERROR(__xludf.DUMMYFUNCTION("""COMPUTED_VALUE"""),20010002)</f>
        <v>20010002</v>
      </c>
      <c r="B856" s="62" t="str">
        <f ca="1">IFERROR(__xludf.DUMMYFUNCTION("""COMPUTED_VALUE"""),"Teclado Asus GL551J (retroiluminado)")</f>
        <v>Teclado Asus GL551J (retroiluminado)</v>
      </c>
      <c r="C856" s="75">
        <f ca="1">IFERROR(__xludf.DUMMYFUNCTION("""COMPUTED_VALUE"""),130)</f>
        <v>130</v>
      </c>
      <c r="D856" s="75">
        <f ca="1">IFERROR(__xludf.DUMMYFUNCTION("""COMPUTED_VALUE"""),30)</f>
        <v>30</v>
      </c>
      <c r="E856" s="76">
        <f ca="1">IFERROR(__xludf.DUMMYFUNCTION("""COMPUTED_VALUE"""),160)</f>
        <v>160</v>
      </c>
      <c r="F856" s="77">
        <f ca="1">IFERROR(__xludf.DUMMYFUNCTION("""COMPUTED_VALUE"""),20010002)</f>
        <v>20010002</v>
      </c>
      <c r="G856" s="77" t="str">
        <f t="shared" ca="1" si="3"/>
        <v>si</v>
      </c>
    </row>
    <row r="857" spans="1:7" ht="12.75" x14ac:dyDescent="0.2">
      <c r="A857" s="62">
        <f ca="1">IFERROR(__xludf.DUMMYFUNCTION("""COMPUTED_VALUE"""),20010004)</f>
        <v>20010004</v>
      </c>
      <c r="B857" s="62" t="str">
        <f ca="1">IFERROR(__xludf.DUMMYFUNCTION("""COMPUTED_VALUE"""),"Teclado Asus X540L")</f>
        <v>Teclado Asus X540L</v>
      </c>
      <c r="C857" s="75">
        <f ca="1">IFERROR(__xludf.DUMMYFUNCTION("""COMPUTED_VALUE"""),90)</f>
        <v>90</v>
      </c>
      <c r="D857" s="75">
        <f ca="1">IFERROR(__xludf.DUMMYFUNCTION("""COMPUTED_VALUE"""),30)</f>
        <v>30</v>
      </c>
      <c r="E857" s="76">
        <f ca="1">IFERROR(__xludf.DUMMYFUNCTION("""COMPUTED_VALUE"""),120)</f>
        <v>120</v>
      </c>
      <c r="F857" s="77">
        <f ca="1">IFERROR(__xludf.DUMMYFUNCTION("""COMPUTED_VALUE"""),20010004)</f>
        <v>20010004</v>
      </c>
      <c r="G857" s="77" t="str">
        <f t="shared" ca="1" si="3"/>
        <v>si</v>
      </c>
    </row>
    <row r="858" spans="1:7" ht="12.75" x14ac:dyDescent="0.2">
      <c r="A858" s="62">
        <f ca="1">IFERROR(__xludf.DUMMYFUNCTION("""COMPUTED_VALUE"""),20010003)</f>
        <v>20010003</v>
      </c>
      <c r="B858" s="62" t="str">
        <f ca="1">IFERROR(__xludf.DUMMYFUNCTION("""COMPUTED_VALUE"""),"Teclado Asus Q550LF (retroiluminado)")</f>
        <v>Teclado Asus Q550LF (retroiluminado)</v>
      </c>
      <c r="C858" s="75">
        <f ca="1">IFERROR(__xludf.DUMMYFUNCTION("""COMPUTED_VALUE"""),150)</f>
        <v>150</v>
      </c>
      <c r="D858" s="75">
        <f ca="1">IFERROR(__xludf.DUMMYFUNCTION("""COMPUTED_VALUE"""),30)</f>
        <v>30</v>
      </c>
      <c r="E858" s="76">
        <f ca="1">IFERROR(__xludf.DUMMYFUNCTION("""COMPUTED_VALUE"""),180)</f>
        <v>180</v>
      </c>
      <c r="F858" s="77">
        <f ca="1">IFERROR(__xludf.DUMMYFUNCTION("""COMPUTED_VALUE"""),20010003)</f>
        <v>20010003</v>
      </c>
      <c r="G858" s="77" t="str">
        <f t="shared" ca="1" si="3"/>
        <v>si</v>
      </c>
    </row>
    <row r="859" spans="1:7" ht="12.75" x14ac:dyDescent="0.2">
      <c r="A859" s="62">
        <f ca="1">IFERROR(__xludf.DUMMYFUNCTION("""COMPUTED_VALUE"""),20010009)</f>
        <v>20010009</v>
      </c>
      <c r="B859" s="62" t="str">
        <f ca="1">IFERROR(__xludf.DUMMYFUNCTION("""COMPUTED_VALUE"""),"Teclado Hp 840 g3")</f>
        <v>Teclado Hp 840 g3</v>
      </c>
      <c r="C859" s="75">
        <f ca="1">IFERROR(__xludf.DUMMYFUNCTION("""COMPUTED_VALUE"""),90)</f>
        <v>90</v>
      </c>
      <c r="D859" s="75">
        <f ca="1">IFERROR(__xludf.DUMMYFUNCTION("""COMPUTED_VALUE"""),30)</f>
        <v>30</v>
      </c>
      <c r="E859" s="76">
        <f ca="1">IFERROR(__xludf.DUMMYFUNCTION("""COMPUTED_VALUE"""),120)</f>
        <v>120</v>
      </c>
      <c r="F859" s="77">
        <f ca="1">IFERROR(__xludf.DUMMYFUNCTION("""COMPUTED_VALUE"""),20010009)</f>
        <v>20010009</v>
      </c>
      <c r="G859" s="77" t="str">
        <f t="shared" ca="1" si="3"/>
        <v>si</v>
      </c>
    </row>
    <row r="860" spans="1:7" ht="12.75" x14ac:dyDescent="0.2">
      <c r="A860" s="62">
        <f ca="1">IFERROR(__xludf.DUMMYFUNCTION("""COMPUTED_VALUE"""),20010008)</f>
        <v>20010008</v>
      </c>
      <c r="B860" s="62" t="str">
        <f ca="1">IFERROR(__xludf.DUMMYFUNCTION("""COMPUTED_VALUE"""),"Teclado Hp 15J, 17J, 15Tz")</f>
        <v>Teclado Hp 15J, 17J, 15Tz</v>
      </c>
      <c r="C860" s="75">
        <f ca="1">IFERROR(__xludf.DUMMYFUNCTION("""COMPUTED_VALUE"""),130)</f>
        <v>130</v>
      </c>
      <c r="D860" s="75">
        <f ca="1">IFERROR(__xludf.DUMMYFUNCTION("""COMPUTED_VALUE"""),30)</f>
        <v>30</v>
      </c>
      <c r="E860" s="76">
        <f ca="1">IFERROR(__xludf.DUMMYFUNCTION("""COMPUTED_VALUE"""),160)</f>
        <v>160</v>
      </c>
      <c r="F860" s="77">
        <f ca="1">IFERROR(__xludf.DUMMYFUNCTION("""COMPUTED_VALUE"""),20010008)</f>
        <v>20010008</v>
      </c>
      <c r="G860" s="77" t="str">
        <f t="shared" ca="1" si="3"/>
        <v>si</v>
      </c>
    </row>
    <row r="861" spans="1:7" ht="12.75" x14ac:dyDescent="0.2">
      <c r="A861" s="62">
        <f ca="1">IFERROR(__xludf.DUMMYFUNCTION("""COMPUTED_VALUE"""),20010018)</f>
        <v>20010018</v>
      </c>
      <c r="B861" s="62" t="str">
        <f ca="1">IFERROR(__xludf.DUMMYFUNCTION("""COMPUTED_VALUE"""),"Teclado Hp G6-2000")</f>
        <v>Teclado Hp G6-2000</v>
      </c>
      <c r="C861" s="75">
        <f ca="1">IFERROR(__xludf.DUMMYFUNCTION("""COMPUTED_VALUE"""),45)</f>
        <v>45</v>
      </c>
      <c r="D861" s="75">
        <f ca="1">IFERROR(__xludf.DUMMYFUNCTION("""COMPUTED_VALUE"""),30)</f>
        <v>30</v>
      </c>
      <c r="E861" s="76">
        <f ca="1">IFERROR(__xludf.DUMMYFUNCTION("""COMPUTED_VALUE"""),75)</f>
        <v>75</v>
      </c>
      <c r="F861" s="77">
        <f ca="1">IFERROR(__xludf.DUMMYFUNCTION("""COMPUTED_VALUE"""),20010018)</f>
        <v>20010018</v>
      </c>
      <c r="G861" s="77" t="str">
        <f t="shared" ca="1" si="3"/>
        <v>si</v>
      </c>
    </row>
    <row r="862" spans="1:7" ht="12.75" x14ac:dyDescent="0.2">
      <c r="A862" s="62">
        <f ca="1">IFERROR(__xludf.DUMMYFUNCTION("""COMPUTED_VALUE"""),20010015)</f>
        <v>20010015</v>
      </c>
      <c r="B862" s="62" t="str">
        <f ca="1">IFERROR(__xludf.DUMMYFUNCTION("""COMPUTED_VALUE"""),"Teclado Hp DV5")</f>
        <v>Teclado Hp DV5</v>
      </c>
      <c r="C862" s="75">
        <f ca="1">IFERROR(__xludf.DUMMYFUNCTION("""COMPUTED_VALUE"""),45)</f>
        <v>45</v>
      </c>
      <c r="D862" s="75">
        <f ca="1">IFERROR(__xludf.DUMMYFUNCTION("""COMPUTED_VALUE"""),30)</f>
        <v>30</v>
      </c>
      <c r="E862" s="76">
        <f ca="1">IFERROR(__xludf.DUMMYFUNCTION("""COMPUTED_VALUE"""),75)</f>
        <v>75</v>
      </c>
      <c r="F862" s="77">
        <f ca="1">IFERROR(__xludf.DUMMYFUNCTION("""COMPUTED_VALUE"""),20010015)</f>
        <v>20010015</v>
      </c>
      <c r="G862" s="77" t="str">
        <f t="shared" ca="1" si="3"/>
        <v>si</v>
      </c>
    </row>
    <row r="863" spans="1:7" ht="12.75" x14ac:dyDescent="0.2">
      <c r="A863" s="62">
        <f ca="1">IFERROR(__xludf.DUMMYFUNCTION("""COMPUTED_VALUE"""),20010019)</f>
        <v>20010019</v>
      </c>
      <c r="B863" s="62" t="str">
        <f ca="1">IFERROR(__xludf.DUMMYFUNCTION("""COMPUTED_VALUE"""),"Teclado Hp G7")</f>
        <v>Teclado Hp G7</v>
      </c>
      <c r="C863" s="75">
        <f ca="1">IFERROR(__xludf.DUMMYFUNCTION("""COMPUTED_VALUE"""),45)</f>
        <v>45</v>
      </c>
      <c r="D863" s="75">
        <f ca="1">IFERROR(__xludf.DUMMYFUNCTION("""COMPUTED_VALUE"""),30)</f>
        <v>30</v>
      </c>
      <c r="E863" s="76">
        <f ca="1">IFERROR(__xludf.DUMMYFUNCTION("""COMPUTED_VALUE"""),75)</f>
        <v>75</v>
      </c>
      <c r="F863" s="77">
        <f ca="1">IFERROR(__xludf.DUMMYFUNCTION("""COMPUTED_VALUE"""),20010019)</f>
        <v>20010019</v>
      </c>
      <c r="G863" s="77" t="str">
        <f t="shared" ca="1" si="3"/>
        <v>si</v>
      </c>
    </row>
    <row r="864" spans="1:7" ht="12.75" x14ac:dyDescent="0.2">
      <c r="A864" s="62">
        <f ca="1">IFERROR(__xludf.DUMMYFUNCTION("""COMPUTED_VALUE"""),20010013)</f>
        <v>20010013</v>
      </c>
      <c r="B864" s="62" t="str">
        <f ca="1">IFERROR(__xludf.DUMMYFUNCTION("""COMPUTED_VALUE"""),"Teclado Hp DM4-3000")</f>
        <v>Teclado Hp DM4-3000</v>
      </c>
      <c r="C864" s="75">
        <f ca="1">IFERROR(__xludf.DUMMYFUNCTION("""COMPUTED_VALUE"""),45)</f>
        <v>45</v>
      </c>
      <c r="D864" s="75">
        <f ca="1">IFERROR(__xludf.DUMMYFUNCTION("""COMPUTED_VALUE"""),30)</f>
        <v>30</v>
      </c>
      <c r="E864" s="76">
        <f ca="1">IFERROR(__xludf.DUMMYFUNCTION("""COMPUTED_VALUE"""),75)</f>
        <v>75</v>
      </c>
      <c r="F864" s="77">
        <f ca="1">IFERROR(__xludf.DUMMYFUNCTION("""COMPUTED_VALUE"""),20010013)</f>
        <v>20010013</v>
      </c>
      <c r="G864" s="77" t="str">
        <f t="shared" ca="1" si="3"/>
        <v>si</v>
      </c>
    </row>
    <row r="865" spans="1:7" ht="12.75" x14ac:dyDescent="0.2">
      <c r="A865" s="62">
        <f ca="1">IFERROR(__xludf.DUMMYFUNCTION("""COMPUTED_VALUE"""),20010012)</f>
        <v>20010012</v>
      </c>
      <c r="B865" s="62" t="str">
        <f ca="1">IFERROR(__xludf.DUMMYFUNCTION("""COMPUTED_VALUE"""),"Teclado Hp CQ43")</f>
        <v>Teclado Hp CQ43</v>
      </c>
      <c r="C865" s="75">
        <f ca="1">IFERROR(__xludf.DUMMYFUNCTION("""COMPUTED_VALUE"""),45)</f>
        <v>45</v>
      </c>
      <c r="D865" s="75">
        <f ca="1">IFERROR(__xludf.DUMMYFUNCTION("""COMPUTED_VALUE"""),30)</f>
        <v>30</v>
      </c>
      <c r="E865" s="76">
        <f ca="1">IFERROR(__xludf.DUMMYFUNCTION("""COMPUTED_VALUE"""),75)</f>
        <v>75</v>
      </c>
      <c r="F865" s="77">
        <f ca="1">IFERROR(__xludf.DUMMYFUNCTION("""COMPUTED_VALUE"""),20010012)</f>
        <v>20010012</v>
      </c>
      <c r="G865" s="77" t="str">
        <f t="shared" ca="1" si="3"/>
        <v>si</v>
      </c>
    </row>
    <row r="866" spans="1:7" ht="12.75" x14ac:dyDescent="0.2">
      <c r="A866" s="62">
        <f ca="1">IFERROR(__xludf.DUMMYFUNCTION("""COMPUTED_VALUE"""),20010011)</f>
        <v>20010011</v>
      </c>
      <c r="B866" s="62" t="str">
        <f ca="1">IFERROR(__xludf.DUMMYFUNCTION("""COMPUTED_VALUE"""),"Teclado Hp CQ40")</f>
        <v>Teclado Hp CQ40</v>
      </c>
      <c r="C866" s="75">
        <f ca="1">IFERROR(__xludf.DUMMYFUNCTION("""COMPUTED_VALUE"""),45)</f>
        <v>45</v>
      </c>
      <c r="D866" s="75">
        <f ca="1">IFERROR(__xludf.DUMMYFUNCTION("""COMPUTED_VALUE"""),30)</f>
        <v>30</v>
      </c>
      <c r="E866" s="76">
        <f ca="1">IFERROR(__xludf.DUMMYFUNCTION("""COMPUTED_VALUE"""),75)</f>
        <v>75</v>
      </c>
      <c r="F866" s="77">
        <f ca="1">IFERROR(__xludf.DUMMYFUNCTION("""COMPUTED_VALUE"""),20010011)</f>
        <v>20010011</v>
      </c>
      <c r="G866" s="77" t="str">
        <f t="shared" ca="1" si="3"/>
        <v>si</v>
      </c>
    </row>
    <row r="867" spans="1:7" ht="12.75" x14ac:dyDescent="0.2">
      <c r="A867" s="62">
        <f ca="1">IFERROR(__xludf.DUMMYFUNCTION("""COMPUTED_VALUE"""),20010014)</f>
        <v>20010014</v>
      </c>
      <c r="B867" s="62" t="str">
        <f ca="1">IFERROR(__xludf.DUMMYFUNCTION("""COMPUTED_VALUE"""),"Teclado Hp DV4-3000")</f>
        <v>Teclado Hp DV4-3000</v>
      </c>
      <c r="C867" s="75">
        <f ca="1">IFERROR(__xludf.DUMMYFUNCTION("""COMPUTED_VALUE"""),45)</f>
        <v>45</v>
      </c>
      <c r="D867" s="75">
        <f ca="1">IFERROR(__xludf.DUMMYFUNCTION("""COMPUTED_VALUE"""),30)</f>
        <v>30</v>
      </c>
      <c r="E867" s="76">
        <f ca="1">IFERROR(__xludf.DUMMYFUNCTION("""COMPUTED_VALUE"""),75)</f>
        <v>75</v>
      </c>
      <c r="F867" s="77">
        <f ca="1">IFERROR(__xludf.DUMMYFUNCTION("""COMPUTED_VALUE"""),20010014)</f>
        <v>20010014</v>
      </c>
      <c r="G867" s="77" t="str">
        <f t="shared" ca="1" si="3"/>
        <v>si</v>
      </c>
    </row>
    <row r="868" spans="1:7" ht="12.75" x14ac:dyDescent="0.2">
      <c r="A868" s="62">
        <f ca="1">IFERROR(__xludf.DUMMYFUNCTION("""COMPUTED_VALUE"""),20010016)</f>
        <v>20010016</v>
      </c>
      <c r="B868" s="62" t="str">
        <f ca="1">IFERROR(__xludf.DUMMYFUNCTION("""COMPUTED_VALUE"""),"Teclado Hp DV6000")</f>
        <v>Teclado Hp DV6000</v>
      </c>
      <c r="C868" s="75">
        <f ca="1">IFERROR(__xludf.DUMMYFUNCTION("""COMPUTED_VALUE"""),45)</f>
        <v>45</v>
      </c>
      <c r="D868" s="75">
        <f ca="1">IFERROR(__xludf.DUMMYFUNCTION("""COMPUTED_VALUE"""),30)</f>
        <v>30</v>
      </c>
      <c r="E868" s="76">
        <f ca="1">IFERROR(__xludf.DUMMYFUNCTION("""COMPUTED_VALUE"""),75)</f>
        <v>75</v>
      </c>
      <c r="F868" s="77">
        <f ca="1">IFERROR(__xludf.DUMMYFUNCTION("""COMPUTED_VALUE"""),20010016)</f>
        <v>20010016</v>
      </c>
      <c r="G868" s="77" t="str">
        <f t="shared" ca="1" si="3"/>
        <v>si</v>
      </c>
    </row>
    <row r="869" spans="1:7" ht="12.75" x14ac:dyDescent="0.2">
      <c r="A869" s="62">
        <f ca="1">IFERROR(__xludf.DUMMYFUNCTION("""COMPUTED_VALUE"""),20010017)</f>
        <v>20010017</v>
      </c>
      <c r="B869" s="62" t="str">
        <f ca="1">IFERROR(__xludf.DUMMYFUNCTION("""COMPUTED_VALUE"""),"Teclado Hp G4 2000")</f>
        <v>Teclado Hp G4 2000</v>
      </c>
      <c r="C869" s="75">
        <f ca="1">IFERROR(__xludf.DUMMYFUNCTION("""COMPUTED_VALUE"""),45)</f>
        <v>45</v>
      </c>
      <c r="D869" s="75">
        <f ca="1">IFERROR(__xludf.DUMMYFUNCTION("""COMPUTED_VALUE"""),30)</f>
        <v>30</v>
      </c>
      <c r="E869" s="76">
        <f ca="1">IFERROR(__xludf.DUMMYFUNCTION("""COMPUTED_VALUE"""),75)</f>
        <v>75</v>
      </c>
      <c r="F869" s="77">
        <f ca="1">IFERROR(__xludf.DUMMYFUNCTION("""COMPUTED_VALUE"""),20010017)</f>
        <v>20010017</v>
      </c>
      <c r="G869" s="77" t="str">
        <f t="shared" ca="1" si="3"/>
        <v>si</v>
      </c>
    </row>
    <row r="870" spans="1:7" ht="12.75" x14ac:dyDescent="0.2">
      <c r="A870" s="62">
        <f ca="1">IFERROR(__xludf.DUMMYFUNCTION("""COMPUTED_VALUE"""),20010020)</f>
        <v>20010020</v>
      </c>
      <c r="B870" s="62" t="str">
        <f ca="1">IFERROR(__xludf.DUMMYFUNCTION("""COMPUTED_VALUE"""),"Teclado Hp H2530")</f>
        <v>Teclado Hp H2530</v>
      </c>
      <c r="C870" s="75">
        <f ca="1">IFERROR(__xludf.DUMMYFUNCTION("""COMPUTED_VALUE"""),45)</f>
        <v>45</v>
      </c>
      <c r="D870" s="75">
        <f ca="1">IFERROR(__xludf.DUMMYFUNCTION("""COMPUTED_VALUE"""),30)</f>
        <v>30</v>
      </c>
      <c r="E870" s="76">
        <f ca="1">IFERROR(__xludf.DUMMYFUNCTION("""COMPUTED_VALUE"""),75)</f>
        <v>75</v>
      </c>
      <c r="F870" s="77">
        <f ca="1">IFERROR(__xludf.DUMMYFUNCTION("""COMPUTED_VALUE"""),20010020)</f>
        <v>20010020</v>
      </c>
      <c r="G870" s="77" t="str">
        <f t="shared" ca="1" si="3"/>
        <v>si</v>
      </c>
    </row>
    <row r="871" spans="1:7" ht="12.75" x14ac:dyDescent="0.2">
      <c r="A871" s="62">
        <f ca="1">IFERROR(__xludf.DUMMYFUNCTION("""COMPUTED_VALUE"""),20010010)</f>
        <v>20010010</v>
      </c>
      <c r="B871" s="62" t="str">
        <f ca="1">IFERROR(__xludf.DUMMYFUNCTION("""COMPUTED_VALUE"""),"Teclado Hp 8530")</f>
        <v>Teclado Hp 8530</v>
      </c>
      <c r="C871" s="75">
        <f ca="1">IFERROR(__xludf.DUMMYFUNCTION("""COMPUTED_VALUE"""),45)</f>
        <v>45</v>
      </c>
      <c r="D871" s="75">
        <f ca="1">IFERROR(__xludf.DUMMYFUNCTION("""COMPUTED_VALUE"""),30)</f>
        <v>30</v>
      </c>
      <c r="E871" s="76">
        <f ca="1">IFERROR(__xludf.DUMMYFUNCTION("""COMPUTED_VALUE"""),75)</f>
        <v>75</v>
      </c>
      <c r="F871" s="77">
        <f ca="1">IFERROR(__xludf.DUMMYFUNCTION("""COMPUTED_VALUE"""),20010010)</f>
        <v>20010010</v>
      </c>
      <c r="G871" s="77" t="str">
        <f t="shared" ca="1" si="3"/>
        <v>si</v>
      </c>
    </row>
    <row r="872" spans="1:7" ht="12.75" x14ac:dyDescent="0.2">
      <c r="A872" s="62">
        <f ca="1">IFERROR(__xludf.DUMMYFUNCTION("""COMPUTED_VALUE"""),20010005)</f>
        <v>20010005</v>
      </c>
      <c r="B872" s="62" t="str">
        <f ca="1">IFERROR(__xludf.DUMMYFUNCTION("""COMPUTED_VALUE"""),"Teclado Dell  14Z-5423")</f>
        <v>Teclado Dell  14Z-5423</v>
      </c>
      <c r="C872" s="75">
        <f ca="1">IFERROR(__xludf.DUMMYFUNCTION("""COMPUTED_VALUE"""),45)</f>
        <v>45</v>
      </c>
      <c r="D872" s="75">
        <f ca="1">IFERROR(__xludf.DUMMYFUNCTION("""COMPUTED_VALUE"""),30)</f>
        <v>30</v>
      </c>
      <c r="E872" s="76">
        <f ca="1">IFERROR(__xludf.DUMMYFUNCTION("""COMPUTED_VALUE"""),75)</f>
        <v>75</v>
      </c>
      <c r="F872" s="77">
        <f ca="1">IFERROR(__xludf.DUMMYFUNCTION("""COMPUTED_VALUE"""),20010005)</f>
        <v>20010005</v>
      </c>
      <c r="G872" s="77" t="str">
        <f t="shared" ca="1" si="3"/>
        <v>si</v>
      </c>
    </row>
    <row r="873" spans="1:7" ht="12.75" x14ac:dyDescent="0.2">
      <c r="A873" s="62">
        <f ca="1">IFERROR(__xludf.DUMMYFUNCTION("""COMPUTED_VALUE"""),20010006)</f>
        <v>20010006</v>
      </c>
      <c r="B873" s="62" t="str">
        <f ca="1">IFERROR(__xludf.DUMMYFUNCTION("""COMPUTED_VALUE"""),"Teclado Dell  15-3521")</f>
        <v>Teclado Dell  15-3521</v>
      </c>
      <c r="C873" s="75">
        <f ca="1">IFERROR(__xludf.DUMMYFUNCTION("""COMPUTED_VALUE"""),45)</f>
        <v>45</v>
      </c>
      <c r="D873" s="75">
        <f ca="1">IFERROR(__xludf.DUMMYFUNCTION("""COMPUTED_VALUE"""),30)</f>
        <v>30</v>
      </c>
      <c r="E873" s="76">
        <f ca="1">IFERROR(__xludf.DUMMYFUNCTION("""COMPUTED_VALUE"""),75)</f>
        <v>75</v>
      </c>
      <c r="F873" s="77">
        <f ca="1">IFERROR(__xludf.DUMMYFUNCTION("""COMPUTED_VALUE"""),20010006)</f>
        <v>20010006</v>
      </c>
      <c r="G873" s="77" t="str">
        <f t="shared" ca="1" si="3"/>
        <v>si</v>
      </c>
    </row>
    <row r="874" spans="1:7" ht="12.75" x14ac:dyDescent="0.2">
      <c r="A874" s="62">
        <f ca="1">IFERROR(__xludf.DUMMYFUNCTION("""COMPUTED_VALUE"""),20010007)</f>
        <v>20010007</v>
      </c>
      <c r="B874" s="62" t="str">
        <f ca="1">IFERROR(__xludf.DUMMYFUNCTION("""COMPUTED_VALUE"""),"Teclado Dell  15R")</f>
        <v>Teclado Dell  15R</v>
      </c>
      <c r="C874" s="75">
        <f ca="1">IFERROR(__xludf.DUMMYFUNCTION("""COMPUTED_VALUE"""),45)</f>
        <v>45</v>
      </c>
      <c r="D874" s="75">
        <f ca="1">IFERROR(__xludf.DUMMYFUNCTION("""COMPUTED_VALUE"""),30)</f>
        <v>30</v>
      </c>
      <c r="E874" s="76">
        <f ca="1">IFERROR(__xludf.DUMMYFUNCTION("""COMPUTED_VALUE"""),75)</f>
        <v>75</v>
      </c>
      <c r="F874" s="77">
        <f ca="1">IFERROR(__xludf.DUMMYFUNCTION("""COMPUTED_VALUE"""),20010007)</f>
        <v>20010007</v>
      </c>
      <c r="G874" s="77" t="str">
        <f t="shared" ca="1" si="3"/>
        <v>si</v>
      </c>
    </row>
    <row r="875" spans="1:7" ht="12.75" x14ac:dyDescent="0.2">
      <c r="A875" s="62">
        <f ca="1">IFERROR(__xludf.DUMMYFUNCTION("""COMPUTED_VALUE"""),20140033)</f>
        <v>20140033</v>
      </c>
      <c r="B875" s="62" t="str">
        <f ca="1">IFERROR(__xludf.DUMMYFUNCTION("""COMPUTED_VALUE"""),"Cargador Macbook 45W Magsafe 1 Adapter Sin logo")</f>
        <v>Cargador Macbook 45W Magsafe 1 Adapter Sin logo</v>
      </c>
      <c r="C875" s="75">
        <f ca="1">IFERROR(__xludf.DUMMYFUNCTION("""COMPUTED_VALUE"""),120)</f>
        <v>120</v>
      </c>
      <c r="D875" s="75">
        <f ca="1">IFERROR(__xludf.DUMMYFUNCTION("""COMPUTED_VALUE"""),30)</f>
        <v>30</v>
      </c>
      <c r="E875" s="76">
        <f ca="1">IFERROR(__xludf.DUMMYFUNCTION("""COMPUTED_VALUE"""),150)</f>
        <v>150</v>
      </c>
      <c r="F875" s="77">
        <f ca="1">IFERROR(__xludf.DUMMYFUNCTION("""COMPUTED_VALUE"""),20140033)</f>
        <v>20140033</v>
      </c>
      <c r="G875" s="77" t="str">
        <f t="shared" ca="1" si="3"/>
        <v>si</v>
      </c>
    </row>
    <row r="876" spans="1:7" ht="12.75" x14ac:dyDescent="0.2">
      <c r="A876" s="62">
        <f ca="1">IFERROR(__xludf.DUMMYFUNCTION("""COMPUTED_VALUE"""),20140032)</f>
        <v>20140032</v>
      </c>
      <c r="B876" s="62" t="str">
        <f ca="1">IFERROR(__xludf.DUMMYFUNCTION("""COMPUTED_VALUE"""),"Cargador Macbook 45W Magsafe 1 Adapter Con logo")</f>
        <v>Cargador Macbook 45W Magsafe 1 Adapter Con logo</v>
      </c>
      <c r="C876" s="75">
        <f ca="1">IFERROR(__xludf.DUMMYFUNCTION("""COMPUTED_VALUE"""),210)</f>
        <v>210</v>
      </c>
      <c r="D876" s="75">
        <f ca="1">IFERROR(__xludf.DUMMYFUNCTION("""COMPUTED_VALUE"""),30)</f>
        <v>30</v>
      </c>
      <c r="E876" s="76">
        <f ca="1">IFERROR(__xludf.DUMMYFUNCTION("""COMPUTED_VALUE"""),240)</f>
        <v>240</v>
      </c>
      <c r="F876" s="77">
        <f ca="1">IFERROR(__xludf.DUMMYFUNCTION("""COMPUTED_VALUE"""),20140032)</f>
        <v>20140032</v>
      </c>
      <c r="G876" s="77" t="str">
        <f t="shared" ca="1" si="3"/>
        <v>si</v>
      </c>
    </row>
    <row r="877" spans="1:7" ht="12.75" x14ac:dyDescent="0.2">
      <c r="A877" s="62">
        <f ca="1">IFERROR(__xludf.DUMMYFUNCTION("""COMPUTED_VALUE"""),20140031)</f>
        <v>20140031</v>
      </c>
      <c r="B877" s="62" t="str">
        <f ca="1">IFERROR(__xludf.DUMMYFUNCTION("""COMPUTED_VALUE"""),"Cargador Macbook 45W Magsafe 1 Adapter Caja Sellada")</f>
        <v>Cargador Macbook 45W Magsafe 1 Adapter Caja Sellada</v>
      </c>
      <c r="C877" s="75">
        <f ca="1">IFERROR(__xludf.DUMMYFUNCTION("""COMPUTED_VALUE"""),300)</f>
        <v>300</v>
      </c>
      <c r="D877" s="75">
        <f ca="1">IFERROR(__xludf.DUMMYFUNCTION("""COMPUTED_VALUE"""),30)</f>
        <v>30</v>
      </c>
      <c r="E877" s="76">
        <f ca="1">IFERROR(__xludf.DUMMYFUNCTION("""COMPUTED_VALUE"""),330)</f>
        <v>330</v>
      </c>
      <c r="F877" s="77">
        <f ca="1">IFERROR(__xludf.DUMMYFUNCTION("""COMPUTED_VALUE"""),20140031)</f>
        <v>20140031</v>
      </c>
      <c r="G877" s="77" t="str">
        <f t="shared" ca="1" si="3"/>
        <v>si</v>
      </c>
    </row>
    <row r="878" spans="1:7" ht="12.75" x14ac:dyDescent="0.2">
      <c r="A878" s="62">
        <f ca="1">IFERROR(__xludf.DUMMYFUNCTION("""COMPUTED_VALUE"""),20140039)</f>
        <v>20140039</v>
      </c>
      <c r="B878" s="62" t="str">
        <f ca="1">IFERROR(__xludf.DUMMYFUNCTION("""COMPUTED_VALUE"""),"Cargador Macbook 60W Magsafe 1 Adapter Sin logo")</f>
        <v>Cargador Macbook 60W Magsafe 1 Adapter Sin logo</v>
      </c>
      <c r="C878" s="75">
        <f ca="1">IFERROR(__xludf.DUMMYFUNCTION("""COMPUTED_VALUE"""),120)</f>
        <v>120</v>
      </c>
      <c r="D878" s="75">
        <f ca="1">IFERROR(__xludf.DUMMYFUNCTION("""COMPUTED_VALUE"""),30)</f>
        <v>30</v>
      </c>
      <c r="E878" s="76">
        <f ca="1">IFERROR(__xludf.DUMMYFUNCTION("""COMPUTED_VALUE"""),150)</f>
        <v>150</v>
      </c>
      <c r="F878" s="77">
        <f ca="1">IFERROR(__xludf.DUMMYFUNCTION("""COMPUTED_VALUE"""),20140039)</f>
        <v>20140039</v>
      </c>
      <c r="G878" s="77" t="str">
        <f t="shared" ca="1" si="3"/>
        <v>si</v>
      </c>
    </row>
    <row r="879" spans="1:7" ht="12.75" x14ac:dyDescent="0.2">
      <c r="A879" s="62">
        <f ca="1">IFERROR(__xludf.DUMMYFUNCTION("""COMPUTED_VALUE"""),20140038)</f>
        <v>20140038</v>
      </c>
      <c r="B879" s="62"/>
      <c r="C879" s="62"/>
      <c r="D879" s="62"/>
      <c r="E879" s="57"/>
      <c r="F879" s="77">
        <f ca="1">IFERROR(__xludf.DUMMYFUNCTION("""COMPUTED_VALUE"""),20140038)</f>
        <v>20140038</v>
      </c>
      <c r="G879" s="77" t="str">
        <f t="shared" ca="1" si="3"/>
        <v>si</v>
      </c>
    </row>
    <row r="880" spans="1:7" ht="12.75" x14ac:dyDescent="0.2">
      <c r="A880" s="62">
        <f ca="1">IFERROR(__xludf.DUMMYFUNCTION("""COMPUTED_VALUE"""),20140037)</f>
        <v>20140037</v>
      </c>
      <c r="B880" s="62"/>
      <c r="C880" s="62"/>
      <c r="D880" s="62"/>
      <c r="E880" s="57"/>
      <c r="F880" s="77">
        <f ca="1">IFERROR(__xludf.DUMMYFUNCTION("""COMPUTED_VALUE"""),20140037)</f>
        <v>20140037</v>
      </c>
      <c r="G880" s="77" t="str">
        <f t="shared" ca="1" si="3"/>
        <v>si</v>
      </c>
    </row>
    <row r="881" spans="1:7" ht="12.75" x14ac:dyDescent="0.2">
      <c r="A881" s="62">
        <f ca="1">IFERROR(__xludf.DUMMYFUNCTION("""COMPUTED_VALUE"""),20140047)</f>
        <v>20140047</v>
      </c>
      <c r="B881" s="62" t="str">
        <f ca="1">IFERROR(__xludf.DUMMYFUNCTION("""COMPUTED_VALUE"""),"Cargador Macbook 85W Magsafe 1 Adapter Sin logo")</f>
        <v>Cargador Macbook 85W Magsafe 1 Adapter Sin logo</v>
      </c>
      <c r="C881" s="75">
        <f ca="1">IFERROR(__xludf.DUMMYFUNCTION("""COMPUTED_VALUE"""),120)</f>
        <v>120</v>
      </c>
      <c r="D881" s="75">
        <f ca="1">IFERROR(__xludf.DUMMYFUNCTION("""COMPUTED_VALUE"""),30)</f>
        <v>30</v>
      </c>
      <c r="E881" s="76">
        <f ca="1">IFERROR(__xludf.DUMMYFUNCTION("""COMPUTED_VALUE"""),150)</f>
        <v>150</v>
      </c>
      <c r="F881" s="77">
        <f ca="1">IFERROR(__xludf.DUMMYFUNCTION("""COMPUTED_VALUE"""),20140047)</f>
        <v>20140047</v>
      </c>
      <c r="G881" s="77" t="str">
        <f t="shared" ca="1" si="3"/>
        <v>si</v>
      </c>
    </row>
    <row r="882" spans="1:7" ht="12.75" x14ac:dyDescent="0.2">
      <c r="A882" s="62">
        <f ca="1">IFERROR(__xludf.DUMMYFUNCTION("""COMPUTED_VALUE"""),20140046)</f>
        <v>20140046</v>
      </c>
      <c r="B882" s="62" t="str">
        <f ca="1">IFERROR(__xludf.DUMMYFUNCTION("""COMPUTED_VALUE"""),"Cargador Macbook 85W Magsafe 1 Adapter Con logo")</f>
        <v>Cargador Macbook 85W Magsafe 1 Adapter Con logo</v>
      </c>
      <c r="C882" s="75">
        <f ca="1">IFERROR(__xludf.DUMMYFUNCTION("""COMPUTED_VALUE"""),210)</f>
        <v>210</v>
      </c>
      <c r="D882" s="75">
        <f ca="1">IFERROR(__xludf.DUMMYFUNCTION("""COMPUTED_VALUE"""),30)</f>
        <v>30</v>
      </c>
      <c r="E882" s="76">
        <f ca="1">IFERROR(__xludf.DUMMYFUNCTION("""COMPUTED_VALUE"""),240)</f>
        <v>240</v>
      </c>
      <c r="F882" s="77">
        <f ca="1">IFERROR(__xludf.DUMMYFUNCTION("""COMPUTED_VALUE"""),20140046)</f>
        <v>20140046</v>
      </c>
      <c r="G882" s="77" t="str">
        <f t="shared" ca="1" si="3"/>
        <v>si</v>
      </c>
    </row>
    <row r="883" spans="1:7" ht="12.75" x14ac:dyDescent="0.2">
      <c r="A883" s="62">
        <f ca="1">IFERROR(__xludf.DUMMYFUNCTION("""COMPUTED_VALUE"""),20140045)</f>
        <v>20140045</v>
      </c>
      <c r="B883" s="62"/>
      <c r="C883" s="62"/>
      <c r="D883" s="62"/>
      <c r="E883" s="57"/>
      <c r="F883" s="77">
        <f ca="1">IFERROR(__xludf.DUMMYFUNCTION("""COMPUTED_VALUE"""),20140045)</f>
        <v>20140045</v>
      </c>
      <c r="G883" s="77" t="str">
        <f t="shared" ca="1" si="3"/>
        <v>si</v>
      </c>
    </row>
    <row r="884" spans="1:7" ht="12.75" x14ac:dyDescent="0.2">
      <c r="A884" s="62">
        <f ca="1">IFERROR(__xludf.DUMMYFUNCTION("""COMPUTED_VALUE"""),20140036)</f>
        <v>20140036</v>
      </c>
      <c r="B884" s="62" t="str">
        <f ca="1">IFERROR(__xludf.DUMMYFUNCTION("""COMPUTED_VALUE"""),"Cargador Macbook 45W Magsafe 2 Adapter Sin logo")</f>
        <v>Cargador Macbook 45W Magsafe 2 Adapter Sin logo</v>
      </c>
      <c r="C884" s="75">
        <f ca="1">IFERROR(__xludf.DUMMYFUNCTION("""COMPUTED_VALUE"""),120)</f>
        <v>120</v>
      </c>
      <c r="D884" s="75">
        <f ca="1">IFERROR(__xludf.DUMMYFUNCTION("""COMPUTED_VALUE"""),30)</f>
        <v>30</v>
      </c>
      <c r="E884" s="76">
        <f ca="1">IFERROR(__xludf.DUMMYFUNCTION("""COMPUTED_VALUE"""),150)</f>
        <v>150</v>
      </c>
      <c r="F884" s="77">
        <f ca="1">IFERROR(__xludf.DUMMYFUNCTION("""COMPUTED_VALUE"""),20140036)</f>
        <v>20140036</v>
      </c>
      <c r="G884" s="77" t="str">
        <f t="shared" ca="1" si="3"/>
        <v>si</v>
      </c>
    </row>
    <row r="885" spans="1:7" ht="12.75" x14ac:dyDescent="0.2">
      <c r="A885" s="62">
        <f ca="1">IFERROR(__xludf.DUMMYFUNCTION("""COMPUTED_VALUE"""),20140035)</f>
        <v>20140035</v>
      </c>
      <c r="B885" s="62"/>
      <c r="C885" s="62"/>
      <c r="D885" s="62"/>
      <c r="E885" s="57"/>
      <c r="F885" s="77">
        <f ca="1">IFERROR(__xludf.DUMMYFUNCTION("""COMPUTED_VALUE"""),20140035)</f>
        <v>20140035</v>
      </c>
      <c r="G885" s="77" t="str">
        <f t="shared" ca="1" si="3"/>
        <v>si</v>
      </c>
    </row>
    <row r="886" spans="1:7" ht="12.75" x14ac:dyDescent="0.2">
      <c r="A886" s="62">
        <f ca="1">IFERROR(__xludf.DUMMYFUNCTION("""COMPUTED_VALUE"""),20140034)</f>
        <v>20140034</v>
      </c>
      <c r="B886" s="62"/>
      <c r="C886" s="62"/>
      <c r="D886" s="62"/>
      <c r="E886" s="57"/>
      <c r="F886" s="77">
        <f ca="1">IFERROR(__xludf.DUMMYFUNCTION("""COMPUTED_VALUE"""),20140034)</f>
        <v>20140034</v>
      </c>
      <c r="G886" s="77" t="str">
        <f t="shared" ca="1" si="3"/>
        <v>si</v>
      </c>
    </row>
    <row r="887" spans="1:7" ht="12.75" x14ac:dyDescent="0.2">
      <c r="A887" s="62">
        <f ca="1">IFERROR(__xludf.DUMMYFUNCTION("""COMPUTED_VALUE"""),20140042)</f>
        <v>20140042</v>
      </c>
      <c r="B887" s="62" t="str">
        <f ca="1">IFERROR(__xludf.DUMMYFUNCTION("""COMPUTED_VALUE"""),"Cargador Macbook 60W Magsafe 2 Adapter Sin logo")</f>
        <v>Cargador Macbook 60W Magsafe 2 Adapter Sin logo</v>
      </c>
      <c r="C887" s="75">
        <f ca="1">IFERROR(__xludf.DUMMYFUNCTION("""COMPUTED_VALUE"""),120)</f>
        <v>120</v>
      </c>
      <c r="D887" s="75">
        <f ca="1">IFERROR(__xludf.DUMMYFUNCTION("""COMPUTED_VALUE"""),30)</f>
        <v>30</v>
      </c>
      <c r="E887" s="76">
        <f ca="1">IFERROR(__xludf.DUMMYFUNCTION("""COMPUTED_VALUE"""),150)</f>
        <v>150</v>
      </c>
      <c r="F887" s="77">
        <f ca="1">IFERROR(__xludf.DUMMYFUNCTION("""COMPUTED_VALUE"""),20140042)</f>
        <v>20140042</v>
      </c>
      <c r="G887" s="77" t="str">
        <f t="shared" ca="1" si="3"/>
        <v>si</v>
      </c>
    </row>
    <row r="888" spans="1:7" ht="12.75" x14ac:dyDescent="0.2">
      <c r="A888" s="62">
        <f ca="1">IFERROR(__xludf.DUMMYFUNCTION("""COMPUTED_VALUE"""),20140041)</f>
        <v>20140041</v>
      </c>
      <c r="B888" s="62"/>
      <c r="C888" s="62"/>
      <c r="D888" s="62"/>
      <c r="E888" s="57"/>
      <c r="F888" s="77">
        <f ca="1">IFERROR(__xludf.DUMMYFUNCTION("""COMPUTED_VALUE"""),20140041)</f>
        <v>20140041</v>
      </c>
      <c r="G888" s="77" t="str">
        <f t="shared" ca="1" si="3"/>
        <v>si</v>
      </c>
    </row>
    <row r="889" spans="1:7" ht="12.75" x14ac:dyDescent="0.2">
      <c r="A889" s="62">
        <f ca="1">IFERROR(__xludf.DUMMYFUNCTION("""COMPUTED_VALUE"""),20140040)</f>
        <v>20140040</v>
      </c>
      <c r="B889" s="62"/>
      <c r="C889" s="62"/>
      <c r="D889" s="62"/>
      <c r="E889" s="57"/>
      <c r="F889" s="77">
        <f ca="1">IFERROR(__xludf.DUMMYFUNCTION("""COMPUTED_VALUE"""),20140040)</f>
        <v>20140040</v>
      </c>
      <c r="G889" s="77" t="str">
        <f t="shared" ca="1" si="3"/>
        <v>si</v>
      </c>
    </row>
    <row r="890" spans="1:7" ht="12.75" x14ac:dyDescent="0.2">
      <c r="A890" s="62">
        <f ca="1">IFERROR(__xludf.DUMMYFUNCTION("""COMPUTED_VALUE"""),20140049)</f>
        <v>20140049</v>
      </c>
      <c r="B890" s="62" t="str">
        <f ca="1">IFERROR(__xludf.DUMMYFUNCTION("""COMPUTED_VALUE"""),"Cargador Macbook 85W Magsafe 2 Adapter Sin logo")</f>
        <v>Cargador Macbook 85W Magsafe 2 Adapter Sin logo</v>
      </c>
      <c r="C890" s="75">
        <f ca="1">IFERROR(__xludf.DUMMYFUNCTION("""COMPUTED_VALUE"""),120)</f>
        <v>120</v>
      </c>
      <c r="D890" s="75">
        <f ca="1">IFERROR(__xludf.DUMMYFUNCTION("""COMPUTED_VALUE"""),30)</f>
        <v>30</v>
      </c>
      <c r="E890" s="76">
        <f ca="1">IFERROR(__xludf.DUMMYFUNCTION("""COMPUTED_VALUE"""),150)</f>
        <v>150</v>
      </c>
      <c r="F890" s="77">
        <f ca="1">IFERROR(__xludf.DUMMYFUNCTION("""COMPUTED_VALUE"""),20140049)</f>
        <v>20140049</v>
      </c>
      <c r="G890" s="77" t="str">
        <f t="shared" ca="1" si="3"/>
        <v>si</v>
      </c>
    </row>
    <row r="891" spans="1:7" ht="12.75" x14ac:dyDescent="0.2">
      <c r="A891" s="62">
        <f ca="1">IFERROR(__xludf.DUMMYFUNCTION("""COMPUTED_VALUE"""),20140048)</f>
        <v>20140048</v>
      </c>
      <c r="B891" s="62"/>
      <c r="C891" s="62"/>
      <c r="D891" s="62"/>
      <c r="E891" s="57"/>
      <c r="F891" s="77">
        <f ca="1">IFERROR(__xludf.DUMMYFUNCTION("""COMPUTED_VALUE"""),20140048)</f>
        <v>20140048</v>
      </c>
      <c r="G891" s="77" t="str">
        <f t="shared" ca="1" si="3"/>
        <v>si</v>
      </c>
    </row>
    <row r="892" spans="1:7" ht="12.75" x14ac:dyDescent="0.2">
      <c r="A892" s="62">
        <f ca="1">IFERROR(__xludf.DUMMYFUNCTION("""COMPUTED_VALUE"""),20140050)</f>
        <v>20140050</v>
      </c>
      <c r="B892" s="62"/>
      <c r="C892" s="62"/>
      <c r="D892" s="62"/>
      <c r="E892" s="57"/>
      <c r="F892" s="77">
        <f ca="1">IFERROR(__xludf.DUMMYFUNCTION("""COMPUTED_VALUE"""),20140050)</f>
        <v>20140050</v>
      </c>
      <c r="G892" s="77" t="str">
        <f t="shared" ca="1" si="3"/>
        <v>si</v>
      </c>
    </row>
    <row r="893" spans="1:7" ht="12.75" x14ac:dyDescent="0.2">
      <c r="A893" s="62">
        <f ca="1">IFERROR(__xludf.DUMMYFUNCTION("""COMPUTED_VALUE"""),20140030)</f>
        <v>20140030</v>
      </c>
      <c r="B893" s="62" t="str">
        <f ca="1">IFERROR(__xludf.DUMMYFUNCTION("""COMPUTED_VALUE"""),"Cargador Macbook 29W Adapter  Original")</f>
        <v>Cargador Macbook 29W Adapter  Original</v>
      </c>
      <c r="C893" s="75">
        <f ca="1">IFERROR(__xludf.DUMMYFUNCTION("""COMPUTED_VALUE"""),200)</f>
        <v>200</v>
      </c>
      <c r="D893" s="75">
        <f ca="1">IFERROR(__xludf.DUMMYFUNCTION("""COMPUTED_VALUE"""),30)</f>
        <v>30</v>
      </c>
      <c r="E893" s="76">
        <f ca="1">IFERROR(__xludf.DUMMYFUNCTION("""COMPUTED_VALUE"""),230)</f>
        <v>230</v>
      </c>
      <c r="F893" s="77">
        <f ca="1">IFERROR(__xludf.DUMMYFUNCTION("""COMPUTED_VALUE"""),20140030)</f>
        <v>20140030</v>
      </c>
      <c r="G893" s="77" t="str">
        <f t="shared" ca="1" si="3"/>
        <v>si</v>
      </c>
    </row>
    <row r="894" spans="1:7" ht="12.75" x14ac:dyDescent="0.2">
      <c r="A894" s="62">
        <f ca="1">IFERROR(__xludf.DUMMYFUNCTION("""COMPUTED_VALUE"""),20140029)</f>
        <v>20140029</v>
      </c>
      <c r="B894" s="62" t="str">
        <f ca="1">IFERROR(__xludf.DUMMYFUNCTION("""COMPUTED_VALUE"""),"Cargador Macbook 29W Adapter  Caja Sellada")</f>
        <v>Cargador Macbook 29W Adapter  Caja Sellada</v>
      </c>
      <c r="C894" s="75">
        <f ca="1">IFERROR(__xludf.DUMMYFUNCTION("""COMPUTED_VALUE"""),210)</f>
        <v>210</v>
      </c>
      <c r="D894" s="75">
        <f ca="1">IFERROR(__xludf.DUMMYFUNCTION("""COMPUTED_VALUE"""),30)</f>
        <v>30</v>
      </c>
      <c r="E894" s="76">
        <f ca="1">IFERROR(__xludf.DUMMYFUNCTION("""COMPUTED_VALUE"""),240)</f>
        <v>240</v>
      </c>
      <c r="F894" s="77">
        <f ca="1">IFERROR(__xludf.DUMMYFUNCTION("""COMPUTED_VALUE"""),20140029)</f>
        <v>20140029</v>
      </c>
      <c r="G894" s="77" t="str">
        <f t="shared" ca="1" si="3"/>
        <v>si</v>
      </c>
    </row>
    <row r="895" spans="1:7" ht="12.75" x14ac:dyDescent="0.2">
      <c r="A895" s="62">
        <f ca="1">IFERROR(__xludf.DUMMYFUNCTION("""COMPUTED_VALUE"""),20140044)</f>
        <v>20140044</v>
      </c>
      <c r="B895" s="62" t="str">
        <f ca="1">IFERROR(__xludf.DUMMYFUNCTION("""COMPUTED_VALUE"""),"Cargador Macbook 61W Adapter  Cubo")</f>
        <v>Cargador Macbook 61W Adapter  Cubo</v>
      </c>
      <c r="C895" s="75">
        <f ca="1">IFERROR(__xludf.DUMMYFUNCTION("""COMPUTED_VALUE"""),200)</f>
        <v>200</v>
      </c>
      <c r="D895" s="75">
        <f ca="1">IFERROR(__xludf.DUMMYFUNCTION("""COMPUTED_VALUE"""),30)</f>
        <v>30</v>
      </c>
      <c r="E895" s="76">
        <f ca="1">IFERROR(__xludf.DUMMYFUNCTION("""COMPUTED_VALUE"""),230)</f>
        <v>230</v>
      </c>
      <c r="F895" s="77">
        <f ca="1">IFERROR(__xludf.DUMMYFUNCTION("""COMPUTED_VALUE"""),20140044)</f>
        <v>20140044</v>
      </c>
      <c r="G895" s="77" t="str">
        <f t="shared" ca="1" si="3"/>
        <v>si</v>
      </c>
    </row>
    <row r="896" spans="1:7" ht="12.75" x14ac:dyDescent="0.2">
      <c r="A896" s="62">
        <f ca="1">IFERROR(__xludf.DUMMYFUNCTION("""COMPUTED_VALUE"""),20140043)</f>
        <v>20140043</v>
      </c>
      <c r="B896" s="62"/>
      <c r="C896" s="62"/>
      <c r="D896" s="62"/>
      <c r="E896" s="57"/>
      <c r="F896" s="77">
        <f ca="1">IFERROR(__xludf.DUMMYFUNCTION("""COMPUTED_VALUE"""),20140043)</f>
        <v>20140043</v>
      </c>
      <c r="G896" s="77" t="str">
        <f t="shared" ca="1" si="3"/>
        <v>si</v>
      </c>
    </row>
    <row r="897" spans="1:7" ht="12.75" x14ac:dyDescent="0.2">
      <c r="A897" s="62">
        <f ca="1">IFERROR(__xludf.DUMMYFUNCTION("""COMPUTED_VALUE"""),20140052)</f>
        <v>20140052</v>
      </c>
      <c r="B897" s="62" t="str">
        <f ca="1">IFERROR(__xludf.DUMMYFUNCTION("""COMPUTED_VALUE"""),"Cargador Macbook 87W Adapter  Original")</f>
        <v>Cargador Macbook 87W Adapter  Original</v>
      </c>
      <c r="C897" s="75">
        <f ca="1">IFERROR(__xludf.DUMMYFUNCTION("""COMPUTED_VALUE"""),200)</f>
        <v>200</v>
      </c>
      <c r="D897" s="75">
        <f ca="1">IFERROR(__xludf.DUMMYFUNCTION("""COMPUTED_VALUE"""),30)</f>
        <v>30</v>
      </c>
      <c r="E897" s="76">
        <f ca="1">IFERROR(__xludf.DUMMYFUNCTION("""COMPUTED_VALUE"""),230)</f>
        <v>230</v>
      </c>
      <c r="F897" s="77">
        <f ca="1">IFERROR(__xludf.DUMMYFUNCTION("""COMPUTED_VALUE"""),20140052)</f>
        <v>20140052</v>
      </c>
      <c r="G897" s="77" t="str">
        <f t="shared" ca="1" si="3"/>
        <v>si</v>
      </c>
    </row>
    <row r="898" spans="1:7" ht="12.75" x14ac:dyDescent="0.2">
      <c r="A898" s="62">
        <f ca="1">IFERROR(__xludf.DUMMYFUNCTION("""COMPUTED_VALUE"""),20140051)</f>
        <v>20140051</v>
      </c>
      <c r="B898" s="62" t="str">
        <f ca="1">IFERROR(__xludf.DUMMYFUNCTION("""COMPUTED_VALUE"""),"Cargador Macbook 87W Adapter  Caja Sellada")</f>
        <v>Cargador Macbook 87W Adapter  Caja Sellada</v>
      </c>
      <c r="C898" s="75">
        <f ca="1">IFERROR(__xludf.DUMMYFUNCTION("""COMPUTED_VALUE"""),300)</f>
        <v>300</v>
      </c>
      <c r="D898" s="75">
        <f ca="1">IFERROR(__xludf.DUMMYFUNCTION("""COMPUTED_VALUE"""),30)</f>
        <v>30</v>
      </c>
      <c r="E898" s="76">
        <f ca="1">IFERROR(__xludf.DUMMYFUNCTION("""COMPUTED_VALUE"""),330)</f>
        <v>330</v>
      </c>
      <c r="F898" s="77">
        <f ca="1">IFERROR(__xludf.DUMMYFUNCTION("""COMPUTED_VALUE"""),20140051)</f>
        <v>20140051</v>
      </c>
      <c r="G898" s="77" t="str">
        <f t="shared" ca="1" si="3"/>
        <v>si</v>
      </c>
    </row>
    <row r="899" spans="1:7" ht="12.75" x14ac:dyDescent="0.2">
      <c r="A899" s="62">
        <f ca="1">IFERROR(__xludf.DUMMYFUNCTION("""COMPUTED_VALUE"""),20040001)</f>
        <v>20040001</v>
      </c>
      <c r="B899" s="62" t="str">
        <f ca="1">IFERROR(__xludf.DUMMYFUNCTION("""COMPUTED_VALUE"""),"Cargador Surface Pro  3 12V Original")</f>
        <v>Cargador Surface Pro  3 12V Original</v>
      </c>
      <c r="C899" s="75">
        <f ca="1">IFERROR(__xludf.DUMMYFUNCTION("""COMPUTED_VALUE"""),220)</f>
        <v>220</v>
      </c>
      <c r="D899" s="75">
        <f ca="1">IFERROR(__xludf.DUMMYFUNCTION("""COMPUTED_VALUE"""),30)</f>
        <v>30</v>
      </c>
      <c r="E899" s="76">
        <f ca="1">IFERROR(__xludf.DUMMYFUNCTION("""COMPUTED_VALUE"""),250)</f>
        <v>250</v>
      </c>
      <c r="F899" s="77">
        <f ca="1">IFERROR(__xludf.DUMMYFUNCTION("""COMPUTED_VALUE"""),20040001)</f>
        <v>20040001</v>
      </c>
      <c r="G899" s="77" t="str">
        <f t="shared" ca="1" si="3"/>
        <v>si</v>
      </c>
    </row>
    <row r="900" spans="1:7" ht="12.75" x14ac:dyDescent="0.2">
      <c r="A900" s="62">
        <f ca="1">IFERROR(__xludf.DUMMYFUNCTION("""COMPUTED_VALUE"""),20040006)</f>
        <v>20040006</v>
      </c>
      <c r="B900" s="62" t="str">
        <f ca="1">IFERROR(__xludf.DUMMYFUNCTION("""COMPUTED_VALUE"""),"Cargadores Varios ")</f>
        <v xml:space="preserve">Cargadores Varios </v>
      </c>
      <c r="C900" s="75">
        <f ca="1">IFERROR(__xludf.DUMMYFUNCTION("""COMPUTED_VALUE"""),50)</f>
        <v>50</v>
      </c>
      <c r="D900" s="75">
        <f ca="1">IFERROR(__xludf.DUMMYFUNCTION("""COMPUTED_VALUE"""),0)</f>
        <v>0</v>
      </c>
      <c r="E900" s="76">
        <f ca="1">IFERROR(__xludf.DUMMYFUNCTION("""COMPUTED_VALUE"""),50)</f>
        <v>50</v>
      </c>
      <c r="F900" s="77">
        <f ca="1">IFERROR(__xludf.DUMMYFUNCTION("""COMPUTED_VALUE"""),20040006)</f>
        <v>20040006</v>
      </c>
      <c r="G900" s="77" t="str">
        <f t="shared" ca="1" si="3"/>
        <v>si</v>
      </c>
    </row>
    <row r="901" spans="1:7" ht="12.75" x14ac:dyDescent="0.2">
      <c r="A901" s="62">
        <f ca="1">IFERROR(__xludf.DUMMYFUNCTION("""COMPUTED_VALUE"""),20040005)</f>
        <v>20040005</v>
      </c>
      <c r="B901" s="62" t="str">
        <f ca="1">IFERROR(__xludf.DUMMYFUNCTION("""COMPUTED_VALUE"""),"Cargadores Lenovo Original")</f>
        <v>Cargadores Lenovo Original</v>
      </c>
      <c r="C901" s="75">
        <f ca="1">IFERROR(__xludf.DUMMYFUNCTION("""COMPUTED_VALUE"""),190)</f>
        <v>190</v>
      </c>
      <c r="D901" s="75">
        <f ca="1">IFERROR(__xludf.DUMMYFUNCTION("""COMPUTED_VALUE"""),30)</f>
        <v>30</v>
      </c>
      <c r="E901" s="76">
        <f ca="1">IFERROR(__xludf.DUMMYFUNCTION("""COMPUTED_VALUE"""),220)</f>
        <v>220</v>
      </c>
      <c r="F901" s="77">
        <f ca="1">IFERROR(__xludf.DUMMYFUNCTION("""COMPUTED_VALUE"""),20040005)</f>
        <v>20040005</v>
      </c>
      <c r="G901" s="77" t="str">
        <f t="shared" ca="1" si="3"/>
        <v>si</v>
      </c>
    </row>
    <row r="902" spans="1:7" ht="12.75" x14ac:dyDescent="0.2">
      <c r="A902" s="62">
        <f ca="1">IFERROR(__xludf.DUMMYFUNCTION("""COMPUTED_VALUE"""),20040004)</f>
        <v>20040004</v>
      </c>
      <c r="B902" s="62" t="str">
        <f ca="1">IFERROR(__xludf.DUMMYFUNCTION("""COMPUTED_VALUE"""),"Cargadores Dell")</f>
        <v>Cargadores Dell</v>
      </c>
      <c r="C902" s="75">
        <f ca="1">IFERROR(__xludf.DUMMYFUNCTION("""COMPUTED_VALUE"""),170)</f>
        <v>170</v>
      </c>
      <c r="D902" s="75">
        <f ca="1">IFERROR(__xludf.DUMMYFUNCTION("""COMPUTED_VALUE"""),30)</f>
        <v>30</v>
      </c>
      <c r="E902" s="76">
        <f ca="1">IFERROR(__xludf.DUMMYFUNCTION("""COMPUTED_VALUE"""),200)</f>
        <v>200</v>
      </c>
      <c r="F902" s="77">
        <f ca="1">IFERROR(__xludf.DUMMYFUNCTION("""COMPUTED_VALUE"""),20040004)</f>
        <v>20040004</v>
      </c>
      <c r="G902" s="77" t="str">
        <f t="shared" ca="1" si="3"/>
        <v>si</v>
      </c>
    </row>
    <row r="903" spans="1:7" ht="12.75" x14ac:dyDescent="0.2">
      <c r="A903" s="62">
        <f ca="1">IFERROR(__xludf.DUMMYFUNCTION("""COMPUTED_VALUE"""),20040003)</f>
        <v>20040003</v>
      </c>
      <c r="B903" s="62" t="str">
        <f ca="1">IFERROR(__xludf.DUMMYFUNCTION("""COMPUTED_VALUE"""),"Cargadores Asus ")</f>
        <v xml:space="preserve">Cargadores Asus </v>
      </c>
      <c r="C903" s="75">
        <f ca="1">IFERROR(__xludf.DUMMYFUNCTION("""COMPUTED_VALUE"""),140)</f>
        <v>140</v>
      </c>
      <c r="D903" s="75">
        <f ca="1">IFERROR(__xludf.DUMMYFUNCTION("""COMPUTED_VALUE"""),30)</f>
        <v>30</v>
      </c>
      <c r="E903" s="76">
        <f ca="1">IFERROR(__xludf.DUMMYFUNCTION("""COMPUTED_VALUE"""),170)</f>
        <v>170</v>
      </c>
      <c r="F903" s="77">
        <f ca="1">IFERROR(__xludf.DUMMYFUNCTION("""COMPUTED_VALUE"""),20040003)</f>
        <v>20040003</v>
      </c>
      <c r="G903" s="77" t="str">
        <f t="shared" ca="1" si="3"/>
        <v>si</v>
      </c>
    </row>
    <row r="904" spans="1:7" ht="12.75" x14ac:dyDescent="0.2">
      <c r="A904" s="62">
        <f ca="1">IFERROR(__xludf.DUMMYFUNCTION("""COMPUTED_VALUE"""),20140027)</f>
        <v>20140027</v>
      </c>
      <c r="B904" s="62" t="str">
        <f ca="1">IFERROR(__xludf.DUMMYFUNCTION("""COMPUTED_VALUE"""),"Cable Safe 1")</f>
        <v>Cable Safe 1</v>
      </c>
      <c r="C904" s="75">
        <f ca="1">IFERROR(__xludf.DUMMYFUNCTION("""COMPUTED_VALUE"""),50)</f>
        <v>50</v>
      </c>
      <c r="D904" s="75">
        <f ca="1">IFERROR(__xludf.DUMMYFUNCTION("""COMPUTED_VALUE"""),30)</f>
        <v>30</v>
      </c>
      <c r="E904" s="76">
        <f ca="1">IFERROR(__xludf.DUMMYFUNCTION("""COMPUTED_VALUE"""),80)</f>
        <v>80</v>
      </c>
      <c r="F904" s="77">
        <f ca="1">IFERROR(__xludf.DUMMYFUNCTION("""COMPUTED_VALUE"""),20140027)</f>
        <v>20140027</v>
      </c>
      <c r="G904" s="77" t="str">
        <f t="shared" ca="1" si="3"/>
        <v>si</v>
      </c>
    </row>
    <row r="905" spans="1:7" ht="12.75" x14ac:dyDescent="0.2">
      <c r="A905" s="62">
        <f ca="1">IFERROR(__xludf.DUMMYFUNCTION("""COMPUTED_VALUE"""),20140028)</f>
        <v>20140028</v>
      </c>
      <c r="B905" s="62" t="str">
        <f ca="1">IFERROR(__xludf.DUMMYFUNCTION("""COMPUTED_VALUE"""),"Cable safe 2")</f>
        <v>Cable safe 2</v>
      </c>
      <c r="C905" s="75">
        <f ca="1">IFERROR(__xludf.DUMMYFUNCTION("""COMPUTED_VALUE"""),50)</f>
        <v>50</v>
      </c>
      <c r="D905" s="75">
        <f ca="1">IFERROR(__xludf.DUMMYFUNCTION("""COMPUTED_VALUE"""),30)</f>
        <v>30</v>
      </c>
      <c r="E905" s="76">
        <f ca="1">IFERROR(__xludf.DUMMYFUNCTION("""COMPUTED_VALUE"""),80)</f>
        <v>80</v>
      </c>
      <c r="F905" s="77">
        <f ca="1">IFERROR(__xludf.DUMMYFUNCTION("""COMPUTED_VALUE"""),20140028)</f>
        <v>20140028</v>
      </c>
      <c r="G905" s="77" t="str">
        <f t="shared" ca="1" si="3"/>
        <v>si</v>
      </c>
    </row>
    <row r="906" spans="1:7" ht="12.75" x14ac:dyDescent="0.2">
      <c r="A906" s="62">
        <f ca="1">IFERROR(__xludf.DUMMYFUNCTION("""COMPUTED_VALUE"""),20140006)</f>
        <v>20140006</v>
      </c>
      <c r="B906" s="62" t="str">
        <f ca="1">IFERROR(__xludf.DUMMYFUNCTION("""COMPUTED_VALUE"""),"Baterias A1322 MacBook PRO 13"" A1278 ,2009-2012")</f>
        <v>Baterias A1322 MacBook PRO 13" A1278 ,2009-2012</v>
      </c>
      <c r="C906" s="75">
        <f ca="1">IFERROR(__xludf.DUMMYFUNCTION("""COMPUTED_VALUE"""),290)</f>
        <v>290</v>
      </c>
      <c r="D906" s="75">
        <f ca="1">IFERROR(__xludf.DUMMYFUNCTION("""COMPUTED_VALUE"""),50)</f>
        <v>50</v>
      </c>
      <c r="E906" s="76">
        <f ca="1">IFERROR(__xludf.DUMMYFUNCTION("""COMPUTED_VALUE"""),340)</f>
        <v>340</v>
      </c>
      <c r="F906" s="77">
        <f ca="1">IFERROR(__xludf.DUMMYFUNCTION("""COMPUTED_VALUE"""),20140006)</f>
        <v>20140006</v>
      </c>
      <c r="G906" s="77" t="str">
        <f t="shared" ca="1" si="3"/>
        <v>si</v>
      </c>
    </row>
    <row r="907" spans="1:7" ht="12.75" x14ac:dyDescent="0.2">
      <c r="A907" s="62">
        <f ca="1">IFERROR(__xludf.DUMMYFUNCTION("""COMPUTED_VALUE"""),20140009)</f>
        <v>20140009</v>
      </c>
      <c r="B907" s="62" t="str">
        <f ca="1">IFERROR(__xludf.DUMMYFUNCTION("""COMPUTED_VALUE"""),"Baterias Macbook A1382 /A1286")</f>
        <v>Baterias Macbook A1382 /A1286</v>
      </c>
      <c r="C907" s="75">
        <f ca="1">IFERROR(__xludf.DUMMYFUNCTION("""COMPUTED_VALUE"""),290)</f>
        <v>290</v>
      </c>
      <c r="D907" s="75">
        <f ca="1">IFERROR(__xludf.DUMMYFUNCTION("""COMPUTED_VALUE"""),50)</f>
        <v>50</v>
      </c>
      <c r="E907" s="76">
        <f ca="1">IFERROR(__xludf.DUMMYFUNCTION("""COMPUTED_VALUE"""),340)</f>
        <v>340</v>
      </c>
      <c r="F907" s="77">
        <f ca="1">IFERROR(__xludf.DUMMYFUNCTION("""COMPUTED_VALUE"""),20140009)</f>
        <v>20140009</v>
      </c>
      <c r="G907" s="77" t="str">
        <f t="shared" ca="1" si="3"/>
        <v>si</v>
      </c>
    </row>
    <row r="908" spans="1:7" ht="12.75" x14ac:dyDescent="0.2">
      <c r="A908" s="62">
        <f ca="1">IFERROR(__xludf.DUMMYFUNCTION("""COMPUTED_VALUE"""),20140005)</f>
        <v>20140005</v>
      </c>
      <c r="B908" s="62" t="str">
        <f ca="1">IFERROR(__xludf.DUMMYFUNCTION("""COMPUTED_VALUE"""),"Baterias Macbook A1321 / A1286 2010")</f>
        <v>Baterias Macbook A1321 / A1286 2010</v>
      </c>
      <c r="C908" s="75">
        <f ca="1">IFERROR(__xludf.DUMMYFUNCTION("""COMPUTED_VALUE"""),290)</f>
        <v>290</v>
      </c>
      <c r="D908" s="75">
        <f ca="1">IFERROR(__xludf.DUMMYFUNCTION("""COMPUTED_VALUE"""),50)</f>
        <v>50</v>
      </c>
      <c r="E908" s="76">
        <f ca="1">IFERROR(__xludf.DUMMYFUNCTION("""COMPUTED_VALUE"""),340)</f>
        <v>340</v>
      </c>
      <c r="F908" s="77">
        <f ca="1">IFERROR(__xludf.DUMMYFUNCTION("""COMPUTED_VALUE"""),20140005)</f>
        <v>20140005</v>
      </c>
      <c r="G908" s="77" t="str">
        <f t="shared" ca="1" si="3"/>
        <v>si</v>
      </c>
    </row>
    <row r="909" spans="1:7" ht="12.75" x14ac:dyDescent="0.2">
      <c r="A909" s="62">
        <f ca="1">IFERROR(__xludf.DUMMYFUNCTION("""COMPUTED_VALUE"""),20140007)</f>
        <v>20140007</v>
      </c>
      <c r="B909" s="62" t="str">
        <f ca="1">IFERROR(__xludf.DUMMYFUNCTION("""COMPUTED_VALUE"""),"Baterias Macbook A1331 / A1342")</f>
        <v>Baterias Macbook A1331 / A1342</v>
      </c>
      <c r="C909" s="75">
        <f ca="1">IFERROR(__xludf.DUMMYFUNCTION("""COMPUTED_VALUE"""),290)</f>
        <v>290</v>
      </c>
      <c r="D909" s="75">
        <f ca="1">IFERROR(__xludf.DUMMYFUNCTION("""COMPUTED_VALUE"""),50)</f>
        <v>50</v>
      </c>
      <c r="E909" s="76">
        <f ca="1">IFERROR(__xludf.DUMMYFUNCTION("""COMPUTED_VALUE"""),340)</f>
        <v>340</v>
      </c>
      <c r="F909" s="77">
        <f ca="1">IFERROR(__xludf.DUMMYFUNCTION("""COMPUTED_VALUE"""),20140007)</f>
        <v>20140007</v>
      </c>
      <c r="G909" s="77" t="str">
        <f t="shared" ca="1" si="3"/>
        <v>si</v>
      </c>
    </row>
    <row r="910" spans="1:7" ht="12.75" x14ac:dyDescent="0.2">
      <c r="A910" s="62">
        <f ca="1">IFERROR(__xludf.DUMMYFUNCTION("""COMPUTED_VALUE"""),20140008)</f>
        <v>20140008</v>
      </c>
      <c r="B910" s="62" t="str">
        <f ca="1">IFERROR(__xludf.DUMMYFUNCTION("""COMPUTED_VALUE"""),"Baterias Macbook A1375 / A1370 ")</f>
        <v xml:space="preserve">Baterias Macbook A1375 / A1370 </v>
      </c>
      <c r="C910" s="75">
        <f ca="1">IFERROR(__xludf.DUMMYFUNCTION("""COMPUTED_VALUE"""),290)</f>
        <v>290</v>
      </c>
      <c r="D910" s="75">
        <f ca="1">IFERROR(__xludf.DUMMYFUNCTION("""COMPUTED_VALUE"""),50)</f>
        <v>50</v>
      </c>
      <c r="E910" s="76">
        <f ca="1">IFERROR(__xludf.DUMMYFUNCTION("""COMPUTED_VALUE"""),340)</f>
        <v>340</v>
      </c>
      <c r="F910" s="77">
        <f ca="1">IFERROR(__xludf.DUMMYFUNCTION("""COMPUTED_VALUE"""),20140008)</f>
        <v>20140008</v>
      </c>
      <c r="G910" s="77" t="str">
        <f t="shared" ca="1" si="3"/>
        <v>si</v>
      </c>
    </row>
    <row r="911" spans="1:7" ht="12.75" x14ac:dyDescent="0.2">
      <c r="A911" s="62">
        <f ca="1">IFERROR(__xludf.DUMMYFUNCTION("""COMPUTED_VALUE"""),20140003)</f>
        <v>20140003</v>
      </c>
      <c r="B911" s="62" t="str">
        <f ca="1">IFERROR(__xludf.DUMMYFUNCTION("""COMPUTED_VALUE"""),"Baterias Macbook A1281 /A1286 2008")</f>
        <v>Baterias Macbook A1281 /A1286 2008</v>
      </c>
      <c r="C911" s="75">
        <f ca="1">IFERROR(__xludf.DUMMYFUNCTION("""COMPUTED_VALUE"""),150)</f>
        <v>150</v>
      </c>
      <c r="D911" s="75">
        <f ca="1">IFERROR(__xludf.DUMMYFUNCTION("""COMPUTED_VALUE"""),40)</f>
        <v>40</v>
      </c>
      <c r="E911" s="76">
        <f ca="1">IFERROR(__xludf.DUMMYFUNCTION("""COMPUTED_VALUE"""),190)</f>
        <v>190</v>
      </c>
      <c r="F911" s="77">
        <f ca="1">IFERROR(__xludf.DUMMYFUNCTION("""COMPUTED_VALUE"""),20140003)</f>
        <v>20140003</v>
      </c>
      <c r="G911" s="77" t="str">
        <f t="shared" ca="1" si="3"/>
        <v>si</v>
      </c>
    </row>
    <row r="912" spans="1:7" ht="12.75" x14ac:dyDescent="0.2">
      <c r="A912" s="62">
        <f ca="1">IFERROR(__xludf.DUMMYFUNCTION("""COMPUTED_VALUE"""),20140001)</f>
        <v>20140001</v>
      </c>
      <c r="B912" s="62" t="str">
        <f ca="1">IFERROR(__xludf.DUMMYFUNCTION("""COMPUTED_VALUE"""),"Baterias Macbook A1175 / A1226 ")</f>
        <v xml:space="preserve">Baterias Macbook A1175 / A1226 </v>
      </c>
      <c r="C912" s="75">
        <f ca="1">IFERROR(__xludf.DUMMYFUNCTION("""COMPUTED_VALUE"""),150)</f>
        <v>150</v>
      </c>
      <c r="D912" s="75">
        <f ca="1">IFERROR(__xludf.DUMMYFUNCTION("""COMPUTED_VALUE"""),40)</f>
        <v>40</v>
      </c>
      <c r="E912" s="76">
        <f ca="1">IFERROR(__xludf.DUMMYFUNCTION("""COMPUTED_VALUE"""),190)</f>
        <v>190</v>
      </c>
      <c r="F912" s="77">
        <f ca="1">IFERROR(__xludf.DUMMYFUNCTION("""COMPUTED_VALUE"""),20140001)</f>
        <v>20140001</v>
      </c>
      <c r="G912" s="77" t="str">
        <f t="shared" ca="1" si="3"/>
        <v>si</v>
      </c>
    </row>
    <row r="913" spans="1:7" ht="12.75" x14ac:dyDescent="0.2">
      <c r="A913" s="62">
        <f ca="1">IFERROR(__xludf.DUMMYFUNCTION("""COMPUTED_VALUE"""),20140002)</f>
        <v>20140002</v>
      </c>
      <c r="B913" s="62" t="str">
        <f ca="1">IFERROR(__xludf.DUMMYFUNCTION("""COMPUTED_VALUE"""),"Baterias Macbook A1189 / 1229")</f>
        <v>Baterias Macbook A1189 / 1229</v>
      </c>
      <c r="C913" s="75">
        <f ca="1">IFERROR(__xludf.DUMMYFUNCTION("""COMPUTED_VALUE"""),150)</f>
        <v>150</v>
      </c>
      <c r="D913" s="75">
        <f ca="1">IFERROR(__xludf.DUMMYFUNCTION("""COMPUTED_VALUE"""),40)</f>
        <v>40</v>
      </c>
      <c r="E913" s="76">
        <f ca="1">IFERROR(__xludf.DUMMYFUNCTION("""COMPUTED_VALUE"""),190)</f>
        <v>190</v>
      </c>
      <c r="F913" s="77">
        <f ca="1">IFERROR(__xludf.DUMMYFUNCTION("""COMPUTED_VALUE"""),20140002)</f>
        <v>20140002</v>
      </c>
      <c r="G913" s="77" t="str">
        <f t="shared" ca="1" si="3"/>
        <v>si</v>
      </c>
    </row>
    <row r="914" spans="1:7" ht="12.75" x14ac:dyDescent="0.2">
      <c r="A914" s="62">
        <f ca="1">IFERROR(__xludf.DUMMYFUNCTION("""COMPUTED_VALUE"""),20140004)</f>
        <v>20140004</v>
      </c>
      <c r="B914" s="62" t="str">
        <f ca="1">IFERROR(__xludf.DUMMYFUNCTION("""COMPUTED_VALUE"""),"Baterias Macbook A1309 / A1297 2009")</f>
        <v>Baterias Macbook A1309 / A1297 2009</v>
      </c>
      <c r="C914" s="75">
        <f ca="1">IFERROR(__xludf.DUMMYFUNCTION("""COMPUTED_VALUE"""),290)</f>
        <v>290</v>
      </c>
      <c r="D914" s="75">
        <f ca="1">IFERROR(__xludf.DUMMYFUNCTION("""COMPUTED_VALUE"""),0)</f>
        <v>0</v>
      </c>
      <c r="E914" s="76">
        <f ca="1">IFERROR(__xludf.DUMMYFUNCTION("""COMPUTED_VALUE"""),290)</f>
        <v>290</v>
      </c>
      <c r="F914" s="77">
        <f ca="1">IFERROR(__xludf.DUMMYFUNCTION("""COMPUTED_VALUE"""),20140004)</f>
        <v>20140004</v>
      </c>
      <c r="G914" s="77" t="str">
        <f t="shared" ca="1" si="3"/>
        <v>si</v>
      </c>
    </row>
    <row r="915" spans="1:7" ht="12.75" x14ac:dyDescent="0.2">
      <c r="A915" s="62">
        <f ca="1">IFERROR(__xludf.DUMMYFUNCTION("""COMPUTED_VALUE"""),20140010)</f>
        <v>20140010</v>
      </c>
      <c r="B915" s="62" t="str">
        <f ca="1">IFERROR(__xludf.DUMMYFUNCTION("""COMPUTED_VALUE"""),"Baterias Macbook A1383 / A1297 2011")</f>
        <v>Baterias Macbook A1383 / A1297 2011</v>
      </c>
      <c r="C915" s="75">
        <f ca="1">IFERROR(__xludf.DUMMYFUNCTION("""COMPUTED_VALUE"""),290)</f>
        <v>290</v>
      </c>
      <c r="D915" s="75">
        <f ca="1">IFERROR(__xludf.DUMMYFUNCTION("""COMPUTED_VALUE"""),0)</f>
        <v>0</v>
      </c>
      <c r="E915" s="76">
        <f ca="1">IFERROR(__xludf.DUMMYFUNCTION("""COMPUTED_VALUE"""),290)</f>
        <v>290</v>
      </c>
      <c r="F915" s="77">
        <f ca="1">IFERROR(__xludf.DUMMYFUNCTION("""COMPUTED_VALUE"""),20140010)</f>
        <v>20140010</v>
      </c>
      <c r="G915" s="77" t="str">
        <f t="shared" ca="1" si="3"/>
        <v>si</v>
      </c>
    </row>
    <row r="916" spans="1:7" ht="12.75" x14ac:dyDescent="0.2">
      <c r="A916" s="62">
        <f ca="1">IFERROR(__xludf.DUMMYFUNCTION("""COMPUTED_VALUE"""),20140011)</f>
        <v>20140011</v>
      </c>
      <c r="B916" s="62" t="str">
        <f ca="1">IFERROR(__xludf.DUMMYFUNCTION("""COMPUTED_VALUE"""),"Baterias Macbook A1405/a1496/A1377 / A1369 2011 / A1466 2012 / 2017")</f>
        <v>Baterias Macbook A1405/a1496/A1377 / A1369 2011 / A1466 2012 / 2017</v>
      </c>
      <c r="C916" s="75">
        <f ca="1">IFERROR(__xludf.DUMMYFUNCTION("""COMPUTED_VALUE"""),350)</f>
        <v>350</v>
      </c>
      <c r="D916" s="75">
        <f ca="1">IFERROR(__xludf.DUMMYFUNCTION("""COMPUTED_VALUE"""),0)</f>
        <v>0</v>
      </c>
      <c r="E916" s="76">
        <f ca="1">IFERROR(__xludf.DUMMYFUNCTION("""COMPUTED_VALUE"""),350)</f>
        <v>350</v>
      </c>
      <c r="F916" s="77">
        <f ca="1">IFERROR(__xludf.DUMMYFUNCTION("""COMPUTED_VALUE"""),20140011)</f>
        <v>20140011</v>
      </c>
      <c r="G916" s="77" t="str">
        <f t="shared" ca="1" si="3"/>
        <v>si</v>
      </c>
    </row>
    <row r="917" spans="1:7" ht="12.75" x14ac:dyDescent="0.2">
      <c r="A917" s="62">
        <f ca="1">IFERROR(__xludf.DUMMYFUNCTION("""COMPUTED_VALUE"""),20140025)</f>
        <v>20140025</v>
      </c>
      <c r="B917" s="62" t="str">
        <f ca="1">IFERROR(__xludf.DUMMYFUNCTION("""COMPUTED_VALUE"""),"Baterias Macbook A1964 /A1989 / A2251        2017-2018")</f>
        <v>Baterias Macbook A1964 /A1989 / A2251        2017-2018</v>
      </c>
      <c r="C917" s="75">
        <f ca="1">IFERROR(__xludf.DUMMYFUNCTION("""COMPUTED_VALUE"""),450)</f>
        <v>450</v>
      </c>
      <c r="D917" s="75">
        <f ca="1">IFERROR(__xludf.DUMMYFUNCTION("""COMPUTED_VALUE"""),0)</f>
        <v>0</v>
      </c>
      <c r="E917" s="76">
        <f ca="1">IFERROR(__xludf.DUMMYFUNCTION("""COMPUTED_VALUE"""),450)</f>
        <v>450</v>
      </c>
      <c r="F917" s="77">
        <f ca="1">IFERROR(__xludf.DUMMYFUNCTION("""COMPUTED_VALUE"""),20140025)</f>
        <v>20140025</v>
      </c>
      <c r="G917" s="77" t="str">
        <f t="shared" ca="1" si="3"/>
        <v>si</v>
      </c>
    </row>
    <row r="918" spans="1:7" ht="12.75" x14ac:dyDescent="0.2">
      <c r="A918" s="62">
        <f ca="1">IFERROR(__xludf.DUMMYFUNCTION("""COMPUTED_VALUE"""),20140016)</f>
        <v>20140016</v>
      </c>
      <c r="B918" s="62" t="str">
        <f ca="1">IFERROR(__xludf.DUMMYFUNCTION("""COMPUTED_VALUE"""),"Baterias Macbook Air A1495/A1406 2013-2015 / A1465 2011")</f>
        <v>Baterias Macbook Air A1495/A1406 2013-2015 / A1465 2011</v>
      </c>
      <c r="C918" s="75">
        <f ca="1">IFERROR(__xludf.DUMMYFUNCTION("""COMPUTED_VALUE"""),300)</f>
        <v>300</v>
      </c>
      <c r="D918" s="75">
        <f ca="1">IFERROR(__xludf.DUMMYFUNCTION("""COMPUTED_VALUE"""),0)</f>
        <v>0</v>
      </c>
      <c r="E918" s="76">
        <f ca="1">IFERROR(__xludf.DUMMYFUNCTION("""COMPUTED_VALUE"""),300)</f>
        <v>300</v>
      </c>
      <c r="F918" s="77">
        <f ca="1">IFERROR(__xludf.DUMMYFUNCTION("""COMPUTED_VALUE"""),20140016)</f>
        <v>20140016</v>
      </c>
      <c r="G918" s="77" t="str">
        <f t="shared" ca="1" si="3"/>
        <v>si</v>
      </c>
    </row>
    <row r="919" spans="1:7" ht="12.75" x14ac:dyDescent="0.2">
      <c r="A919" s="62">
        <f ca="1">IFERROR(__xludf.DUMMYFUNCTION("""COMPUTED_VALUE"""),20140024)</f>
        <v>20140024</v>
      </c>
      <c r="B919" s="62" t="str">
        <f ca="1">IFERROR(__xludf.DUMMYFUNCTION("""COMPUTED_VALUE"""),"Baterias Macbook A1953 / A1990")</f>
        <v>Baterias Macbook A1953 / A1990</v>
      </c>
      <c r="C919" s="75">
        <f ca="1">IFERROR(__xludf.DUMMYFUNCTION("""COMPUTED_VALUE"""),440)</f>
        <v>440</v>
      </c>
      <c r="D919" s="75">
        <f ca="1">IFERROR(__xludf.DUMMYFUNCTION("""COMPUTED_VALUE"""),0)</f>
        <v>0</v>
      </c>
      <c r="E919" s="76">
        <f ca="1">IFERROR(__xludf.DUMMYFUNCTION("""COMPUTED_VALUE"""),440)</f>
        <v>440</v>
      </c>
      <c r="F919" s="77">
        <f ca="1">IFERROR(__xludf.DUMMYFUNCTION("""COMPUTED_VALUE"""),20140024)</f>
        <v>20140024</v>
      </c>
      <c r="G919" s="77" t="str">
        <f t="shared" ca="1" si="3"/>
        <v>si</v>
      </c>
    </row>
    <row r="920" spans="1:7" ht="12.75" x14ac:dyDescent="0.2">
      <c r="A920" s="62">
        <f ca="1">IFERROR(__xludf.DUMMYFUNCTION("""COMPUTED_VALUE"""),20140012)</f>
        <v>20140012</v>
      </c>
      <c r="B920" s="62" t="str">
        <f ca="1">IFERROR(__xludf.DUMMYFUNCTION("""COMPUTED_VALUE"""),"Baterias Macbook A1417 / A1398 2012 ")</f>
        <v xml:space="preserve">Baterias Macbook A1417 / A1398 2012 </v>
      </c>
      <c r="C920" s="75">
        <f ca="1">IFERROR(__xludf.DUMMYFUNCTION("""COMPUTED_VALUE"""),350)</f>
        <v>350</v>
      </c>
      <c r="D920" s="75">
        <f ca="1">IFERROR(__xludf.DUMMYFUNCTION("""COMPUTED_VALUE"""),0)</f>
        <v>0</v>
      </c>
      <c r="E920" s="76">
        <f ca="1">IFERROR(__xludf.DUMMYFUNCTION("""COMPUTED_VALUE"""),350)</f>
        <v>350</v>
      </c>
      <c r="F920" s="77">
        <f ca="1">IFERROR(__xludf.DUMMYFUNCTION("""COMPUTED_VALUE"""),20140012)</f>
        <v>20140012</v>
      </c>
      <c r="G920" s="77" t="str">
        <f t="shared" ca="1" si="3"/>
        <v>si</v>
      </c>
    </row>
    <row r="921" spans="1:7" ht="12.75" x14ac:dyDescent="0.2">
      <c r="A921" s="62">
        <f ca="1">IFERROR(__xludf.DUMMYFUNCTION("""COMPUTED_VALUE"""),20140013)</f>
        <v>20140013</v>
      </c>
      <c r="B921" s="62" t="str">
        <f ca="1">IFERROR(__xludf.DUMMYFUNCTION("""COMPUTED_VALUE"""),"Baterias Macbook A1437 / A1425 ")</f>
        <v xml:space="preserve">Baterias Macbook A1437 / A1425 </v>
      </c>
      <c r="C921" s="75">
        <f ca="1">IFERROR(__xludf.DUMMYFUNCTION("""COMPUTED_VALUE"""),380)</f>
        <v>380</v>
      </c>
      <c r="D921" s="75">
        <f ca="1">IFERROR(__xludf.DUMMYFUNCTION("""COMPUTED_VALUE"""),0)</f>
        <v>0</v>
      </c>
      <c r="E921" s="76">
        <f ca="1">IFERROR(__xludf.DUMMYFUNCTION("""COMPUTED_VALUE"""),380)</f>
        <v>380</v>
      </c>
      <c r="F921" s="77">
        <f ca="1">IFERROR(__xludf.DUMMYFUNCTION("""COMPUTED_VALUE"""),20140013)</f>
        <v>20140013</v>
      </c>
      <c r="G921" s="77" t="str">
        <f t="shared" ca="1" si="3"/>
        <v>si</v>
      </c>
    </row>
    <row r="922" spans="1:7" ht="12.75" x14ac:dyDescent="0.2">
      <c r="A922" s="62">
        <f ca="1">IFERROR(__xludf.DUMMYFUNCTION("""COMPUTED_VALUE"""),20140015)</f>
        <v>20140015</v>
      </c>
      <c r="B922" s="62" t="str">
        <f ca="1">IFERROR(__xludf.DUMMYFUNCTION("""COMPUTED_VALUE"""),"Baterias Macbook A1494 / A1398 2014 -2013")</f>
        <v>Baterias Macbook A1494 / A1398 2014 -2013</v>
      </c>
      <c r="C922" s="75">
        <f ca="1">IFERROR(__xludf.DUMMYFUNCTION("""COMPUTED_VALUE"""),380)</f>
        <v>380</v>
      </c>
      <c r="D922" s="75">
        <f ca="1">IFERROR(__xludf.DUMMYFUNCTION("""COMPUTED_VALUE"""),0)</f>
        <v>0</v>
      </c>
      <c r="E922" s="76">
        <f ca="1">IFERROR(__xludf.DUMMYFUNCTION("""COMPUTED_VALUE"""),380)</f>
        <v>380</v>
      </c>
      <c r="F922" s="77">
        <f ca="1">IFERROR(__xludf.DUMMYFUNCTION("""COMPUTED_VALUE"""),20140015)</f>
        <v>20140015</v>
      </c>
      <c r="G922" s="77" t="str">
        <f t="shared" ca="1" si="3"/>
        <v>si</v>
      </c>
    </row>
    <row r="923" spans="1:7" ht="12.75" x14ac:dyDescent="0.2">
      <c r="A923" s="62">
        <f ca="1">IFERROR(__xludf.DUMMYFUNCTION("""COMPUTED_VALUE"""),20140014)</f>
        <v>20140014</v>
      </c>
      <c r="B923" s="62" t="str">
        <f ca="1">IFERROR(__xludf.DUMMYFUNCTION("""COMPUTED_VALUE"""),"Baterias Macbook A1493 / A1502 2014")</f>
        <v>Baterias Macbook A1493 / A1502 2014</v>
      </c>
      <c r="C923" s="75">
        <f ca="1">IFERROR(__xludf.DUMMYFUNCTION("""COMPUTED_VALUE"""),370)</f>
        <v>370</v>
      </c>
      <c r="D923" s="75">
        <f ca="1">IFERROR(__xludf.DUMMYFUNCTION("""COMPUTED_VALUE"""),0)</f>
        <v>0</v>
      </c>
      <c r="E923" s="76">
        <f ca="1">IFERROR(__xludf.DUMMYFUNCTION("""COMPUTED_VALUE"""),370)</f>
        <v>370</v>
      </c>
      <c r="F923" s="77">
        <f ca="1">IFERROR(__xludf.DUMMYFUNCTION("""COMPUTED_VALUE"""),20140014)</f>
        <v>20140014</v>
      </c>
      <c r="G923" s="77" t="str">
        <f t="shared" ca="1" si="3"/>
        <v>si</v>
      </c>
    </row>
    <row r="924" spans="1:7" ht="12.75" x14ac:dyDescent="0.2">
      <c r="A924" s="62">
        <f ca="1">IFERROR(__xludf.DUMMYFUNCTION("""COMPUTED_VALUE"""),20140018)</f>
        <v>20140018</v>
      </c>
      <c r="B924" s="62" t="str">
        <f ca="1">IFERROR(__xludf.DUMMYFUNCTION("""COMPUTED_VALUE"""),"Baterias Macbook A1582 / A1502 2015")</f>
        <v>Baterias Macbook A1582 / A1502 2015</v>
      </c>
      <c r="C924" s="75">
        <f ca="1">IFERROR(__xludf.DUMMYFUNCTION("""COMPUTED_VALUE"""),370)</f>
        <v>370</v>
      </c>
      <c r="D924" s="75">
        <f ca="1">IFERROR(__xludf.DUMMYFUNCTION("""COMPUTED_VALUE"""),0)</f>
        <v>0</v>
      </c>
      <c r="E924" s="76">
        <f ca="1">IFERROR(__xludf.DUMMYFUNCTION("""COMPUTED_VALUE"""),370)</f>
        <v>370</v>
      </c>
      <c r="F924" s="77">
        <f ca="1">IFERROR(__xludf.DUMMYFUNCTION("""COMPUTED_VALUE"""),20140018)</f>
        <v>20140018</v>
      </c>
      <c r="G924" s="77" t="str">
        <f t="shared" ca="1" si="3"/>
        <v>si</v>
      </c>
    </row>
    <row r="925" spans="1:7" ht="12.75" x14ac:dyDescent="0.2">
      <c r="A925" s="62">
        <f ca="1">IFERROR(__xludf.DUMMYFUNCTION("""COMPUTED_VALUE"""),20140019)</f>
        <v>20140019</v>
      </c>
      <c r="B925" s="62" t="str">
        <f ca="1">IFERROR(__xludf.DUMMYFUNCTION("""COMPUTED_VALUE"""),"Baterias Macbook A1618 / A1398 2015")</f>
        <v>Baterias Macbook A1618 / A1398 2015</v>
      </c>
      <c r="C925" s="75">
        <f ca="1">IFERROR(__xludf.DUMMYFUNCTION("""COMPUTED_VALUE"""),380)</f>
        <v>380</v>
      </c>
      <c r="D925" s="75">
        <f ca="1">IFERROR(__xludf.DUMMYFUNCTION("""COMPUTED_VALUE"""),0)</f>
        <v>0</v>
      </c>
      <c r="E925" s="76">
        <f ca="1">IFERROR(__xludf.DUMMYFUNCTION("""COMPUTED_VALUE"""),380)</f>
        <v>380</v>
      </c>
      <c r="F925" s="77">
        <f ca="1">IFERROR(__xludf.DUMMYFUNCTION("""COMPUTED_VALUE"""),20140019)</f>
        <v>20140019</v>
      </c>
      <c r="G925" s="77" t="str">
        <f t="shared" ca="1" si="3"/>
        <v>si</v>
      </c>
    </row>
    <row r="926" spans="1:7" ht="12.75" x14ac:dyDescent="0.2">
      <c r="A926" s="62">
        <f ca="1">IFERROR(__xludf.DUMMYFUNCTION("""COMPUTED_VALUE"""),20140020)</f>
        <v>20140020</v>
      </c>
      <c r="B926" s="62" t="str">
        <f ca="1">IFERROR(__xludf.DUMMYFUNCTION("""COMPUTED_VALUE"""),"Baterias Macbook A1705 / A1534 2015 - 2016 - 2017")</f>
        <v>Baterias Macbook A1705 / A1534 2015 - 2016 - 2017</v>
      </c>
      <c r="C926" s="75">
        <f ca="1">IFERROR(__xludf.DUMMYFUNCTION("""COMPUTED_VALUE"""),420)</f>
        <v>420</v>
      </c>
      <c r="D926" s="75">
        <f ca="1">IFERROR(__xludf.DUMMYFUNCTION("""COMPUTED_VALUE"""),0)</f>
        <v>0</v>
      </c>
      <c r="E926" s="76">
        <f ca="1">IFERROR(__xludf.DUMMYFUNCTION("""COMPUTED_VALUE"""),420)</f>
        <v>420</v>
      </c>
      <c r="F926" s="77">
        <f ca="1">IFERROR(__xludf.DUMMYFUNCTION("""COMPUTED_VALUE"""),20140020)</f>
        <v>20140020</v>
      </c>
      <c r="G926" s="77" t="str">
        <f t="shared" ca="1" si="3"/>
        <v>si</v>
      </c>
    </row>
    <row r="927" spans="1:7" ht="12.75" x14ac:dyDescent="0.2">
      <c r="A927" s="62">
        <f ca="1">IFERROR(__xludf.DUMMYFUNCTION("""COMPUTED_VALUE"""),20140021)</f>
        <v>20140021</v>
      </c>
      <c r="B927" s="62" t="str">
        <f ca="1">IFERROR(__xludf.DUMMYFUNCTION("""COMPUTED_VALUE"""),"Baterias Macbook A1713 / A1708")</f>
        <v>Baterias Macbook A1713 / A1708</v>
      </c>
      <c r="C927" s="75">
        <f ca="1">IFERROR(__xludf.DUMMYFUNCTION("""COMPUTED_VALUE"""),420)</f>
        <v>420</v>
      </c>
      <c r="D927" s="75">
        <f ca="1">IFERROR(__xludf.DUMMYFUNCTION("""COMPUTED_VALUE"""),0)</f>
        <v>0</v>
      </c>
      <c r="E927" s="76">
        <f ca="1">IFERROR(__xludf.DUMMYFUNCTION("""COMPUTED_VALUE"""),420)</f>
        <v>420</v>
      </c>
      <c r="F927" s="77">
        <f ca="1">IFERROR(__xludf.DUMMYFUNCTION("""COMPUTED_VALUE"""),20140021)</f>
        <v>20140021</v>
      </c>
      <c r="G927" s="77" t="str">
        <f t="shared" ca="1" si="3"/>
        <v>si</v>
      </c>
    </row>
    <row r="928" spans="1:7" ht="12.75" x14ac:dyDescent="0.2">
      <c r="A928" s="62">
        <f ca="1">IFERROR(__xludf.DUMMYFUNCTION("""COMPUTED_VALUE"""),20140023)</f>
        <v>20140023</v>
      </c>
      <c r="B928" s="62" t="str">
        <f ca="1">IFERROR(__xludf.DUMMYFUNCTION("""COMPUTED_VALUE"""),"Baterias Macbook A1820 / A1707")</f>
        <v>Baterias Macbook A1820 / A1707</v>
      </c>
      <c r="C928" s="75">
        <f ca="1">IFERROR(__xludf.DUMMYFUNCTION("""COMPUTED_VALUE"""),420)</f>
        <v>420</v>
      </c>
      <c r="D928" s="75">
        <f ca="1">IFERROR(__xludf.DUMMYFUNCTION("""COMPUTED_VALUE"""),0)</f>
        <v>0</v>
      </c>
      <c r="E928" s="76">
        <f ca="1">IFERROR(__xludf.DUMMYFUNCTION("""COMPUTED_VALUE"""),420)</f>
        <v>420</v>
      </c>
      <c r="F928" s="77">
        <f ca="1">IFERROR(__xludf.DUMMYFUNCTION("""COMPUTED_VALUE"""),20140023)</f>
        <v>20140023</v>
      </c>
      <c r="G928" s="77" t="str">
        <f t="shared" ca="1" si="3"/>
        <v>si</v>
      </c>
    </row>
    <row r="929" spans="1:7" ht="12.75" x14ac:dyDescent="0.2">
      <c r="A929" s="62">
        <f ca="1">IFERROR(__xludf.DUMMYFUNCTION("""COMPUTED_VALUE"""),20140022)</f>
        <v>20140022</v>
      </c>
      <c r="B929" s="62" t="str">
        <f ca="1">IFERROR(__xludf.DUMMYFUNCTION("""COMPUTED_VALUE"""),"Baterias Macbook A1819 / A1706")</f>
        <v>Baterias Macbook A1819 / A1706</v>
      </c>
      <c r="C929" s="75">
        <f ca="1">IFERROR(__xludf.DUMMYFUNCTION("""COMPUTED_VALUE"""),450)</f>
        <v>450</v>
      </c>
      <c r="D929" s="75">
        <f ca="1">IFERROR(__xludf.DUMMYFUNCTION("""COMPUTED_VALUE"""),0)</f>
        <v>0</v>
      </c>
      <c r="E929" s="76">
        <f ca="1">IFERROR(__xludf.DUMMYFUNCTION("""COMPUTED_VALUE"""),450)</f>
        <v>450</v>
      </c>
      <c r="F929" s="77">
        <f ca="1">IFERROR(__xludf.DUMMYFUNCTION("""COMPUTED_VALUE"""),20140022)</f>
        <v>20140022</v>
      </c>
      <c r="G929" s="77" t="str">
        <f t="shared" ca="1" si="3"/>
        <v>si</v>
      </c>
    </row>
    <row r="930" spans="1:7" ht="12.75" x14ac:dyDescent="0.2">
      <c r="A930" s="62">
        <f ca="1">IFERROR(__xludf.DUMMYFUNCTION("""COMPUTED_VALUE"""),20140026)</f>
        <v>20140026</v>
      </c>
      <c r="B930" s="62" t="str">
        <f ca="1">IFERROR(__xludf.DUMMYFUNCTION("""COMPUTED_VALUE"""),"Baterias Macbook A1965 / A1932 / A2179")</f>
        <v>Baterias Macbook A1965 / A1932 / A2179</v>
      </c>
      <c r="C930" s="75">
        <f ca="1">IFERROR(__xludf.DUMMYFUNCTION("""COMPUTED_VALUE"""),450)</f>
        <v>450</v>
      </c>
      <c r="D930" s="75">
        <f ca="1">IFERROR(__xludf.DUMMYFUNCTION("""COMPUTED_VALUE"""),0)</f>
        <v>0</v>
      </c>
      <c r="E930" s="76">
        <f ca="1">IFERROR(__xludf.DUMMYFUNCTION("""COMPUTED_VALUE"""),450)</f>
        <v>450</v>
      </c>
      <c r="F930" s="77">
        <f ca="1">IFERROR(__xludf.DUMMYFUNCTION("""COMPUTED_VALUE"""),20140026)</f>
        <v>20140026</v>
      </c>
      <c r="G930" s="77" t="str">
        <f t="shared" ca="1" si="3"/>
        <v>si</v>
      </c>
    </row>
    <row r="931" spans="1:7" ht="12.75" x14ac:dyDescent="0.2">
      <c r="A931" s="62">
        <f ca="1">IFERROR(__xludf.DUMMYFUNCTION("""COMPUTED_VALUE"""),10020114)</f>
        <v>10020114</v>
      </c>
      <c r="B931" s="62" t="str">
        <f ca="1">IFERROR(__xludf.DUMMYFUNCTION("""COMPUTED_VALUE"""),"Baterias Macbook A2171 - A2159 - A2289")</f>
        <v>Baterias Macbook A2171 - A2159 - A2289</v>
      </c>
      <c r="C931" s="75">
        <f ca="1">IFERROR(__xludf.DUMMYFUNCTION("""COMPUTED_VALUE"""),410)</f>
        <v>410</v>
      </c>
      <c r="D931" s="75">
        <f ca="1">IFERROR(__xludf.DUMMYFUNCTION("""COMPUTED_VALUE"""),0)</f>
        <v>0</v>
      </c>
      <c r="E931" s="76">
        <f ca="1">IFERROR(__xludf.DUMMYFUNCTION("""COMPUTED_VALUE"""),410)</f>
        <v>410</v>
      </c>
      <c r="F931" s="77">
        <f ca="1">IFERROR(__xludf.DUMMYFUNCTION("""COMPUTED_VALUE"""),10020114)</f>
        <v>10020114</v>
      </c>
      <c r="G931" s="77" t="str">
        <f t="shared" ca="1" si="3"/>
        <v>si</v>
      </c>
    </row>
    <row r="932" spans="1:7" ht="12.75" x14ac:dyDescent="0.2">
      <c r="A932" s="62">
        <f ca="1">IFERROR(__xludf.DUMMYFUNCTION("""COMPUTED_VALUE"""),10020113)</f>
        <v>10020113</v>
      </c>
      <c r="B932" s="62" t="str">
        <f ca="1">IFERROR(__xludf.DUMMYFUNCTION("""COMPUTED_VALUE"""),"Baterias Macbook A2113 - A2141")</f>
        <v>Baterias Macbook A2113 - A2141</v>
      </c>
      <c r="C932" s="75">
        <f ca="1">IFERROR(__xludf.DUMMYFUNCTION("""COMPUTED_VALUE"""),490)</f>
        <v>490</v>
      </c>
      <c r="D932" s="75">
        <f ca="1">IFERROR(__xludf.DUMMYFUNCTION("""COMPUTED_VALUE"""),0)</f>
        <v>0</v>
      </c>
      <c r="E932" s="76">
        <f ca="1">IFERROR(__xludf.DUMMYFUNCTION("""COMPUTED_VALUE"""),490)</f>
        <v>490</v>
      </c>
      <c r="F932" s="77">
        <f ca="1">IFERROR(__xludf.DUMMYFUNCTION("""COMPUTED_VALUE"""),10020113)</f>
        <v>10020113</v>
      </c>
      <c r="G932" s="77" t="str">
        <f t="shared" ca="1" si="3"/>
        <v>si</v>
      </c>
    </row>
    <row r="933" spans="1:7" ht="12.75" x14ac:dyDescent="0.2">
      <c r="A933" s="62">
        <f ca="1">IFERROR(__xludf.DUMMYFUNCTION("""COMPUTED_VALUE"""),20140255)</f>
        <v>20140255</v>
      </c>
      <c r="B933" s="62" t="str">
        <f ca="1">IFERROR(__xludf.DUMMYFUNCTION("""COMPUTED_VALUE"""),"Baterias Macbook A2337 - A2389")</f>
        <v>Baterias Macbook A2337 - A2389</v>
      </c>
      <c r="C933" s="75">
        <f ca="1">IFERROR(__xludf.DUMMYFUNCTION("""COMPUTED_VALUE"""),420)</f>
        <v>420</v>
      </c>
      <c r="D933" s="75">
        <f ca="1">IFERROR(__xludf.DUMMYFUNCTION("""COMPUTED_VALUE"""),0)</f>
        <v>0</v>
      </c>
      <c r="E933" s="76">
        <f ca="1">IFERROR(__xludf.DUMMYFUNCTION("""COMPUTED_VALUE"""),420)</f>
        <v>420</v>
      </c>
      <c r="F933" s="77">
        <f ca="1">IFERROR(__xludf.DUMMYFUNCTION("""COMPUTED_VALUE"""),20140255)</f>
        <v>20140255</v>
      </c>
      <c r="G933" s="77" t="str">
        <f t="shared" ca="1" si="3"/>
        <v>si</v>
      </c>
    </row>
    <row r="934" spans="1:7" ht="12.75" x14ac:dyDescent="0.2">
      <c r="A934" s="62">
        <f ca="1">IFERROR(__xludf.DUMMYFUNCTION("""COMPUTED_VALUE"""),20060007)</f>
        <v>20060007</v>
      </c>
      <c r="B934" s="62" t="str">
        <f ca="1">IFERROR(__xludf.DUMMYFUNCTION("""COMPUTED_VALUE"""),"Baterias Surface Pro 4 1724")</f>
        <v>Baterias Surface Pro 4 1724</v>
      </c>
      <c r="C934" s="75">
        <f ca="1">IFERROR(__xludf.DUMMYFUNCTION("""COMPUTED_VALUE"""),270)</f>
        <v>270</v>
      </c>
      <c r="D934" s="75">
        <f ca="1">IFERROR(__xludf.DUMMYFUNCTION("""COMPUTED_VALUE"""),0)</f>
        <v>0</v>
      </c>
      <c r="E934" s="76">
        <f ca="1">IFERROR(__xludf.DUMMYFUNCTION("""COMPUTED_VALUE"""),270)</f>
        <v>270</v>
      </c>
      <c r="F934" s="77">
        <f ca="1">IFERROR(__xludf.DUMMYFUNCTION("""COMPUTED_VALUE"""),20060007)</f>
        <v>20060007</v>
      </c>
      <c r="G934" s="77" t="str">
        <f t="shared" ca="1" si="3"/>
        <v>si</v>
      </c>
    </row>
    <row r="935" spans="1:7" ht="12.75" x14ac:dyDescent="0.2">
      <c r="A935" s="62">
        <f ca="1">IFERROR(__xludf.DUMMYFUNCTION("""COMPUTED_VALUE"""),20060005)</f>
        <v>20060005</v>
      </c>
      <c r="B935" s="62" t="str">
        <f ca="1">IFERROR(__xludf.DUMMYFUNCTION("""COMPUTED_VALUE"""),"Baterias Surface 1 RT 1516")</f>
        <v>Baterias Surface 1 RT 1516</v>
      </c>
      <c r="C935" s="75">
        <f ca="1">IFERROR(__xludf.DUMMYFUNCTION("""COMPUTED_VALUE"""),270)</f>
        <v>270</v>
      </c>
      <c r="D935" s="75">
        <f ca="1">IFERROR(__xludf.DUMMYFUNCTION("""COMPUTED_VALUE"""),0)</f>
        <v>0</v>
      </c>
      <c r="E935" s="76">
        <f ca="1">IFERROR(__xludf.DUMMYFUNCTION("""COMPUTED_VALUE"""),270)</f>
        <v>270</v>
      </c>
      <c r="F935" s="77">
        <f ca="1">IFERROR(__xludf.DUMMYFUNCTION("""COMPUTED_VALUE"""),20060005)</f>
        <v>20060005</v>
      </c>
      <c r="G935" s="77" t="str">
        <f t="shared" ca="1" si="3"/>
        <v>si</v>
      </c>
    </row>
    <row r="936" spans="1:7" ht="12.75" x14ac:dyDescent="0.2">
      <c r="A936" s="62">
        <f ca="1">IFERROR(__xludf.DUMMYFUNCTION("""COMPUTED_VALUE"""),20060006)</f>
        <v>20060006</v>
      </c>
      <c r="B936" s="62" t="str">
        <f ca="1">IFERROR(__xludf.DUMMYFUNCTION("""COMPUTED_VALUE"""),"Baterias Surface pro 3 1645 rt3")</f>
        <v>Baterias Surface pro 3 1645 rt3</v>
      </c>
      <c r="C936" s="75">
        <f ca="1">IFERROR(__xludf.DUMMYFUNCTION("""COMPUTED_VALUE"""),280)</f>
        <v>280</v>
      </c>
      <c r="D936" s="75">
        <f ca="1">IFERROR(__xludf.DUMMYFUNCTION("""COMPUTED_VALUE"""),0)</f>
        <v>0</v>
      </c>
      <c r="E936" s="76">
        <f ca="1">IFERROR(__xludf.DUMMYFUNCTION("""COMPUTED_VALUE"""),280)</f>
        <v>280</v>
      </c>
      <c r="F936" s="77">
        <f ca="1">IFERROR(__xludf.DUMMYFUNCTION("""COMPUTED_VALUE"""),20060006)</f>
        <v>20060006</v>
      </c>
      <c r="G936" s="77" t="str">
        <f t="shared" ca="1" si="3"/>
        <v>si</v>
      </c>
    </row>
    <row r="937" spans="1:7" ht="12.75" x14ac:dyDescent="0.2">
      <c r="A937" s="62">
        <f ca="1">IFERROR(__xludf.DUMMYFUNCTION("""COMPUTED_VALUE"""),20060008)</f>
        <v>20060008</v>
      </c>
      <c r="B937" s="62" t="str">
        <f ca="1">IFERROR(__xludf.DUMMYFUNCTION("""COMPUTED_VALUE"""),"Baterias Surface Pro5")</f>
        <v>Baterias Surface Pro5</v>
      </c>
      <c r="C937" s="75">
        <f ca="1">IFERROR(__xludf.DUMMYFUNCTION("""COMPUTED_VALUE"""),310)</f>
        <v>310</v>
      </c>
      <c r="D937" s="75">
        <f ca="1">IFERROR(__xludf.DUMMYFUNCTION("""COMPUTED_VALUE"""),0)</f>
        <v>0</v>
      </c>
      <c r="E937" s="76">
        <f ca="1">IFERROR(__xludf.DUMMYFUNCTION("""COMPUTED_VALUE"""),310)</f>
        <v>310</v>
      </c>
      <c r="F937" s="77">
        <f ca="1">IFERROR(__xludf.DUMMYFUNCTION("""COMPUTED_VALUE"""),20060008)</f>
        <v>20060008</v>
      </c>
      <c r="G937" s="77" t="str">
        <f t="shared" ca="1" si="3"/>
        <v>si</v>
      </c>
    </row>
    <row r="938" spans="1:7" ht="12.75" x14ac:dyDescent="0.2">
      <c r="A938" s="62">
        <f ca="1">IFERROR(__xludf.DUMMYFUNCTION("""COMPUTED_VALUE"""),20060001)</f>
        <v>20060001</v>
      </c>
      <c r="B938" s="62" t="str">
        <f ca="1">IFERROR(__xludf.DUMMYFUNCTION("""COMPUTED_VALUE"""),"Bateria Dell ")</f>
        <v xml:space="preserve">Bateria Dell </v>
      </c>
      <c r="C938" s="75">
        <f ca="1">IFERROR(__xludf.DUMMYFUNCTION("""COMPUTED_VALUE"""),60)</f>
        <v>60</v>
      </c>
      <c r="D938" s="75">
        <f ca="1">IFERROR(__xludf.DUMMYFUNCTION("""COMPUTED_VALUE"""),0)</f>
        <v>0</v>
      </c>
      <c r="E938" s="76">
        <f ca="1">IFERROR(__xludf.DUMMYFUNCTION("""COMPUTED_VALUE"""),60)</f>
        <v>60</v>
      </c>
      <c r="F938" s="77">
        <f ca="1">IFERROR(__xludf.DUMMYFUNCTION("""COMPUTED_VALUE"""),20060001)</f>
        <v>20060001</v>
      </c>
      <c r="G938" s="77" t="str">
        <f t="shared" ca="1" si="3"/>
        <v>si</v>
      </c>
    </row>
    <row r="939" spans="1:7" ht="12.75" x14ac:dyDescent="0.2">
      <c r="A939" s="62">
        <f ca="1">IFERROR(__xludf.DUMMYFUNCTION("""COMPUTED_VALUE"""),20060002)</f>
        <v>20060002</v>
      </c>
      <c r="B939" s="62" t="str">
        <f ca="1">IFERROR(__xludf.DUMMYFUNCTION("""COMPUTED_VALUE"""),"Bateria HP")</f>
        <v>Bateria HP</v>
      </c>
      <c r="C939" s="75">
        <f ca="1">IFERROR(__xludf.DUMMYFUNCTION("""COMPUTED_VALUE"""),60)</f>
        <v>60</v>
      </c>
      <c r="D939" s="75">
        <f ca="1">IFERROR(__xludf.DUMMYFUNCTION("""COMPUTED_VALUE"""),0)</f>
        <v>0</v>
      </c>
      <c r="E939" s="76">
        <f ca="1">IFERROR(__xludf.DUMMYFUNCTION("""COMPUTED_VALUE"""),60)</f>
        <v>60</v>
      </c>
      <c r="F939" s="77">
        <f ca="1">IFERROR(__xludf.DUMMYFUNCTION("""COMPUTED_VALUE"""),20060002)</f>
        <v>20060002</v>
      </c>
      <c r="G939" s="77" t="str">
        <f t="shared" ca="1" si="3"/>
        <v>si</v>
      </c>
    </row>
    <row r="940" spans="1:7" ht="12.75" x14ac:dyDescent="0.2">
      <c r="A940" s="62">
        <f ca="1">IFERROR(__xludf.DUMMYFUNCTION("""COMPUTED_VALUE"""),20160013)</f>
        <v>20160013</v>
      </c>
      <c r="B940" s="62" t="str">
        <f ca="1">IFERROR(__xludf.DUMMYFUNCTION("""COMPUTED_VALUE"""),"Trackpad Macbook Air 13´- A1932 (2018)")</f>
        <v>Trackpad Macbook Air 13´- A1932 (2018)</v>
      </c>
      <c r="C940" s="75">
        <f ca="1">IFERROR(__xludf.DUMMYFUNCTION("""COMPUTED_VALUE"""),290)</f>
        <v>290</v>
      </c>
      <c r="D940" s="75">
        <f ca="1">IFERROR(__xludf.DUMMYFUNCTION("""COMPUTED_VALUE"""),50)</f>
        <v>50</v>
      </c>
      <c r="E940" s="76">
        <f ca="1">IFERROR(__xludf.DUMMYFUNCTION("""COMPUTED_VALUE"""),340)</f>
        <v>340</v>
      </c>
      <c r="F940" s="77">
        <f ca="1">IFERROR(__xludf.DUMMYFUNCTION("""COMPUTED_VALUE"""),20160013)</f>
        <v>20160013</v>
      </c>
      <c r="G940" s="77" t="str">
        <f t="shared" ca="1" si="3"/>
        <v>si</v>
      </c>
    </row>
    <row r="941" spans="1:7" ht="12.75" x14ac:dyDescent="0.2">
      <c r="A941" s="62">
        <f ca="1">IFERROR(__xludf.DUMMYFUNCTION("""COMPUTED_VALUE"""),20160012)</f>
        <v>20160012</v>
      </c>
      <c r="B941" s="62" t="str">
        <f ca="1">IFERROR(__xludf.DUMMYFUNCTION("""COMPUTED_VALUE"""),"Trackpad Macbook Pro 13´- A1706 - A1708 (2016 - 2018)")</f>
        <v>Trackpad Macbook Pro 13´- A1706 - A1708 (2016 - 2018)</v>
      </c>
      <c r="C941" s="75">
        <f ca="1">IFERROR(__xludf.DUMMYFUNCTION("""COMPUTED_VALUE"""),210)</f>
        <v>210</v>
      </c>
      <c r="D941" s="75">
        <f ca="1">IFERROR(__xludf.DUMMYFUNCTION("""COMPUTED_VALUE"""),50)</f>
        <v>50</v>
      </c>
      <c r="E941" s="76">
        <f ca="1">IFERROR(__xludf.DUMMYFUNCTION("""COMPUTED_VALUE"""),260)</f>
        <v>260</v>
      </c>
      <c r="F941" s="77">
        <f ca="1">IFERROR(__xludf.DUMMYFUNCTION("""COMPUTED_VALUE"""),20160012)</f>
        <v>20160012</v>
      </c>
      <c r="G941" s="77" t="str">
        <f t="shared" ca="1" si="3"/>
        <v>si</v>
      </c>
    </row>
    <row r="942" spans="1:7" ht="12.75" x14ac:dyDescent="0.2">
      <c r="A942" s="62">
        <f ca="1">IFERROR(__xludf.DUMMYFUNCTION("""COMPUTED_VALUE"""),20160006)</f>
        <v>20160006</v>
      </c>
      <c r="B942" s="62" t="str">
        <f ca="1">IFERROR(__xludf.DUMMYFUNCTION("""COMPUTED_VALUE"""),"Trackpad Macbook Air 11´- A1465 (2013 - 2015)")</f>
        <v>Trackpad Macbook Air 11´- A1465 (2013 - 2015)</v>
      </c>
      <c r="C942" s="75">
        <f ca="1">IFERROR(__xludf.DUMMYFUNCTION("""COMPUTED_VALUE"""),250)</f>
        <v>250</v>
      </c>
      <c r="D942" s="75">
        <f ca="1">IFERROR(__xludf.DUMMYFUNCTION("""COMPUTED_VALUE"""),50)</f>
        <v>50</v>
      </c>
      <c r="E942" s="76">
        <f ca="1">IFERROR(__xludf.DUMMYFUNCTION("""COMPUTED_VALUE"""),300)</f>
        <v>300</v>
      </c>
      <c r="F942" s="77">
        <f ca="1">IFERROR(__xludf.DUMMYFUNCTION("""COMPUTED_VALUE"""),20160006)</f>
        <v>20160006</v>
      </c>
      <c r="G942" s="77" t="str">
        <f t="shared" ca="1" si="3"/>
        <v>si</v>
      </c>
    </row>
    <row r="943" spans="1:7" ht="12.75" x14ac:dyDescent="0.2">
      <c r="A943" s="62">
        <f ca="1">IFERROR(__xludf.DUMMYFUNCTION("""COMPUTED_VALUE"""),20160014)</f>
        <v>20160014</v>
      </c>
      <c r="B943" s="62" t="str">
        <f ca="1">IFERROR(__xludf.DUMMYFUNCTION("""COMPUTED_VALUE"""),"Trackpad Macbook Air 13´- A1466 - A1369 (2013 - 2017)")</f>
        <v>Trackpad Macbook Air 13´- A1466 - A1369 (2013 - 2017)</v>
      </c>
      <c r="C943" s="75">
        <f ca="1">IFERROR(__xludf.DUMMYFUNCTION("""COMPUTED_VALUE"""),260)</f>
        <v>260</v>
      </c>
      <c r="D943" s="75">
        <f ca="1">IFERROR(__xludf.DUMMYFUNCTION("""COMPUTED_VALUE"""),50)</f>
        <v>50</v>
      </c>
      <c r="E943" s="76">
        <f ca="1">IFERROR(__xludf.DUMMYFUNCTION("""COMPUTED_VALUE"""),310)</f>
        <v>310</v>
      </c>
      <c r="F943" s="77">
        <f ca="1">IFERROR(__xludf.DUMMYFUNCTION("""COMPUTED_VALUE"""),20160014)</f>
        <v>20160014</v>
      </c>
      <c r="G943" s="77" t="str">
        <f t="shared" ca="1" si="3"/>
        <v>si</v>
      </c>
    </row>
    <row r="944" spans="1:7" ht="12.75" x14ac:dyDescent="0.2">
      <c r="A944" s="62">
        <f ca="1">IFERROR(__xludf.DUMMYFUNCTION("""COMPUTED_VALUE"""),20160016)</f>
        <v>20160016</v>
      </c>
      <c r="B944" s="62" t="str">
        <f ca="1">IFERROR(__xludf.DUMMYFUNCTION("""COMPUTED_VALUE"""),"Trackpad Macbook Pro 15´- A1707 (2016 - 2017)")</f>
        <v>Trackpad Macbook Pro 15´- A1707 (2016 - 2017)</v>
      </c>
      <c r="C944" s="75">
        <f ca="1">IFERROR(__xludf.DUMMYFUNCTION("""COMPUTED_VALUE"""),220)</f>
        <v>220</v>
      </c>
      <c r="D944" s="75">
        <f ca="1">IFERROR(__xludf.DUMMYFUNCTION("""COMPUTED_VALUE"""),50)</f>
        <v>50</v>
      </c>
      <c r="E944" s="76">
        <f ca="1">IFERROR(__xludf.DUMMYFUNCTION("""COMPUTED_VALUE"""),270)</f>
        <v>270</v>
      </c>
      <c r="F944" s="77">
        <f ca="1">IFERROR(__xludf.DUMMYFUNCTION("""COMPUTED_VALUE"""),20160016)</f>
        <v>20160016</v>
      </c>
      <c r="G944" s="77" t="str">
        <f t="shared" ca="1" si="3"/>
        <v>si</v>
      </c>
    </row>
    <row r="945" spans="1:7" ht="12.75" x14ac:dyDescent="0.2">
      <c r="A945" s="62">
        <f ca="1">IFERROR(__xludf.DUMMYFUNCTION("""COMPUTED_VALUE"""),20160023)</f>
        <v>20160023</v>
      </c>
      <c r="B945" s="62" t="str">
        <f ca="1">IFERROR(__xludf.DUMMYFUNCTION("""COMPUTED_VALUE"""),"Trackpad Macbook Pro 13´- A1342 (2009 - 2010)")</f>
        <v>Trackpad Macbook Pro 13´- A1342 (2009 - 2010)</v>
      </c>
      <c r="C945" s="75">
        <f ca="1">IFERROR(__xludf.DUMMYFUNCTION("""COMPUTED_VALUE"""),220)</f>
        <v>220</v>
      </c>
      <c r="D945" s="75">
        <f ca="1">IFERROR(__xludf.DUMMYFUNCTION("""COMPUTED_VALUE"""),50)</f>
        <v>50</v>
      </c>
      <c r="E945" s="76">
        <f ca="1">IFERROR(__xludf.DUMMYFUNCTION("""COMPUTED_VALUE"""),270)</f>
        <v>270</v>
      </c>
      <c r="F945" s="77">
        <f ca="1">IFERROR(__xludf.DUMMYFUNCTION("""COMPUTED_VALUE"""),20160023)</f>
        <v>20160023</v>
      </c>
      <c r="G945" s="77" t="str">
        <f t="shared" ca="1" si="3"/>
        <v>si</v>
      </c>
    </row>
    <row r="946" spans="1:7" ht="12.75" x14ac:dyDescent="0.2">
      <c r="A946" s="62">
        <f ca="1">IFERROR(__xludf.DUMMYFUNCTION("""COMPUTED_VALUE"""),20160019)</f>
        <v>20160019</v>
      </c>
      <c r="B946" s="62" t="str">
        <f ca="1">IFERROR(__xludf.DUMMYFUNCTION("""COMPUTED_VALUE"""),"Trackpad Macbook Pro 12´- A1278 - A1286 (2009 - 2012)")</f>
        <v>Trackpad Macbook Pro 12´- A1278 - A1286 (2009 - 2012)</v>
      </c>
      <c r="C946" s="75">
        <f ca="1">IFERROR(__xludf.DUMMYFUNCTION("""COMPUTED_VALUE"""),210)</f>
        <v>210</v>
      </c>
      <c r="D946" s="75">
        <f ca="1">IFERROR(__xludf.DUMMYFUNCTION("""COMPUTED_VALUE"""),50)</f>
        <v>50</v>
      </c>
      <c r="E946" s="76">
        <f ca="1">IFERROR(__xludf.DUMMYFUNCTION("""COMPUTED_VALUE"""),260)</f>
        <v>260</v>
      </c>
      <c r="F946" s="77">
        <f ca="1">IFERROR(__xludf.DUMMYFUNCTION("""COMPUTED_VALUE"""),20160019)</f>
        <v>20160019</v>
      </c>
      <c r="G946" s="77" t="str">
        <f t="shared" ca="1" si="3"/>
        <v>si</v>
      </c>
    </row>
    <row r="947" spans="1:7" ht="12.75" x14ac:dyDescent="0.2">
      <c r="A947" s="62">
        <f ca="1">IFERROR(__xludf.DUMMYFUNCTION("""COMPUTED_VALUE"""),20160020)</f>
        <v>20160020</v>
      </c>
      <c r="B947" s="62" t="str">
        <f ca="1">IFERROR(__xludf.DUMMYFUNCTION("""COMPUTED_VALUE"""),"Trackpad Macbook Pro 12´- A1534 (2015 - 2016)")</f>
        <v>Trackpad Macbook Pro 12´- A1534 (2015 - 2016)</v>
      </c>
      <c r="C947" s="75">
        <f ca="1">IFERROR(__xludf.DUMMYFUNCTION("""COMPUTED_VALUE"""),240)</f>
        <v>240</v>
      </c>
      <c r="D947" s="75">
        <f ca="1">IFERROR(__xludf.DUMMYFUNCTION("""COMPUTED_VALUE"""),50)</f>
        <v>50</v>
      </c>
      <c r="E947" s="76">
        <f ca="1">IFERROR(__xludf.DUMMYFUNCTION("""COMPUTED_VALUE"""),290)</f>
        <v>290</v>
      </c>
      <c r="F947" s="77">
        <f ca="1">IFERROR(__xludf.DUMMYFUNCTION("""COMPUTED_VALUE"""),20160020)</f>
        <v>20160020</v>
      </c>
      <c r="G947" s="77" t="str">
        <f t="shared" ca="1" si="3"/>
        <v>si</v>
      </c>
    </row>
    <row r="948" spans="1:7" ht="12.75" x14ac:dyDescent="0.2">
      <c r="A948" s="62">
        <f ca="1">IFERROR(__xludf.DUMMYFUNCTION("""COMPUTED_VALUE"""),20160026)</f>
        <v>20160026</v>
      </c>
      <c r="B948" s="62" t="str">
        <f ca="1">IFERROR(__xludf.DUMMYFUNCTION("""COMPUTED_VALUE"""),"Trackpad Macbook Pro 15´- A1398 (2015 - 2016)")</f>
        <v>Trackpad Macbook Pro 15´- A1398 (2015 - 2016)</v>
      </c>
      <c r="C948" s="75">
        <f ca="1">IFERROR(__xludf.DUMMYFUNCTION("""COMPUTED_VALUE"""),220)</f>
        <v>220</v>
      </c>
      <c r="D948" s="75">
        <f ca="1">IFERROR(__xludf.DUMMYFUNCTION("""COMPUTED_VALUE"""),50)</f>
        <v>50</v>
      </c>
      <c r="E948" s="76">
        <f ca="1">IFERROR(__xludf.DUMMYFUNCTION("""COMPUTED_VALUE"""),270)</f>
        <v>270</v>
      </c>
      <c r="F948" s="77">
        <f ca="1">IFERROR(__xludf.DUMMYFUNCTION("""COMPUTED_VALUE"""),20160026)</f>
        <v>20160026</v>
      </c>
      <c r="G948" s="77" t="str">
        <f t="shared" ca="1" si="3"/>
        <v>si</v>
      </c>
    </row>
    <row r="949" spans="1:7" ht="12.75" x14ac:dyDescent="0.2">
      <c r="A949" s="62">
        <f ca="1">IFERROR(__xludf.DUMMYFUNCTION("""COMPUTED_VALUE"""),20160024)</f>
        <v>20160024</v>
      </c>
      <c r="B949" s="62" t="str">
        <f ca="1">IFERROR(__xludf.DUMMYFUNCTION("""COMPUTED_VALUE"""),"Trackpad Macbook Pro 13´- A1502 (2015)")</f>
        <v>Trackpad Macbook Pro 13´- A1502 (2015)</v>
      </c>
      <c r="C949" s="75">
        <f ca="1">IFERROR(__xludf.DUMMYFUNCTION("""COMPUTED_VALUE"""),220)</f>
        <v>220</v>
      </c>
      <c r="D949" s="75">
        <f ca="1">IFERROR(__xludf.DUMMYFUNCTION("""COMPUTED_VALUE"""),50)</f>
        <v>50</v>
      </c>
      <c r="E949" s="76">
        <f ca="1">IFERROR(__xludf.DUMMYFUNCTION("""COMPUTED_VALUE"""),270)</f>
        <v>270</v>
      </c>
      <c r="F949" s="77">
        <f ca="1">IFERROR(__xludf.DUMMYFUNCTION("""COMPUTED_VALUE"""),20160024)</f>
        <v>20160024</v>
      </c>
      <c r="G949" s="77" t="str">
        <f t="shared" ca="1" si="3"/>
        <v>si</v>
      </c>
    </row>
    <row r="950" spans="1:7" ht="12.75" x14ac:dyDescent="0.2">
      <c r="A950" s="62">
        <f ca="1">IFERROR(__xludf.DUMMYFUNCTION("""COMPUTED_VALUE"""),20160011)</f>
        <v>20160011</v>
      </c>
      <c r="B950" s="62" t="str">
        <f ca="1">IFERROR(__xludf.DUMMYFUNCTION("""COMPUTED_VALUE"""),"Trackpad Macbook Pro 13´- A1502 - A1425 (2013 - 2014)")</f>
        <v>Trackpad Macbook Pro 13´- A1502 - A1425 (2013 - 2014)</v>
      </c>
      <c r="C950" s="75">
        <f ca="1">IFERROR(__xludf.DUMMYFUNCTION("""COMPUTED_VALUE"""),220)</f>
        <v>220</v>
      </c>
      <c r="D950" s="75">
        <f ca="1">IFERROR(__xludf.DUMMYFUNCTION("""COMPUTED_VALUE"""),50)</f>
        <v>50</v>
      </c>
      <c r="E950" s="76">
        <f ca="1">IFERROR(__xludf.DUMMYFUNCTION("""COMPUTED_VALUE"""),270)</f>
        <v>270</v>
      </c>
      <c r="F950" s="77">
        <f ca="1">IFERROR(__xludf.DUMMYFUNCTION("""COMPUTED_VALUE"""),20160011)</f>
        <v>20160011</v>
      </c>
      <c r="G950" s="77" t="str">
        <f t="shared" ca="1" si="3"/>
        <v>si</v>
      </c>
    </row>
    <row r="951" spans="1:7" ht="12.75" x14ac:dyDescent="0.2">
      <c r="A951" s="62">
        <f ca="1">IFERROR(__xludf.DUMMYFUNCTION("""COMPUTED_VALUE"""),20140174)</f>
        <v>20140174</v>
      </c>
      <c r="B951" s="62" t="str">
        <f ca="1">IFERROR(__xludf.DUMMYFUNCTION("""COMPUTED_VALUE"""),"Trackpad Macbook Pro 13´- A1990  ")</f>
        <v xml:space="preserve">Trackpad Macbook Pro 13´- A1990  </v>
      </c>
      <c r="C951" s="75">
        <f ca="1">IFERROR(__xludf.DUMMYFUNCTION("""COMPUTED_VALUE"""),230)</f>
        <v>230</v>
      </c>
      <c r="D951" s="75">
        <f ca="1">IFERROR(__xludf.DUMMYFUNCTION("""COMPUTED_VALUE"""),50)</f>
        <v>50</v>
      </c>
      <c r="E951" s="76">
        <f ca="1">IFERROR(__xludf.DUMMYFUNCTION("""COMPUTED_VALUE"""),280)</f>
        <v>280</v>
      </c>
      <c r="F951" s="77">
        <f ca="1">IFERROR(__xludf.DUMMYFUNCTION("""COMPUTED_VALUE"""),20140174)</f>
        <v>20140174</v>
      </c>
      <c r="G951" s="77" t="str">
        <f t="shared" ca="1" si="3"/>
        <v>si</v>
      </c>
    </row>
    <row r="952" spans="1:7" ht="12.75" x14ac:dyDescent="0.2">
      <c r="A952" s="62">
        <f ca="1">IFERROR(__xludf.DUMMYFUNCTION("""COMPUTED_VALUE"""),20140175)</f>
        <v>20140175</v>
      </c>
      <c r="B952" s="62" t="str">
        <f ca="1">IFERROR(__xludf.DUMMYFUNCTION("""COMPUTED_VALUE"""),"Trackpad Macbook Pro 13´- A1989")</f>
        <v>Trackpad Macbook Pro 13´- A1989</v>
      </c>
      <c r="C952" s="75">
        <f ca="1">IFERROR(__xludf.DUMMYFUNCTION("""COMPUTED_VALUE"""),230)</f>
        <v>230</v>
      </c>
      <c r="D952" s="75">
        <f ca="1">IFERROR(__xludf.DUMMYFUNCTION("""COMPUTED_VALUE"""),50)</f>
        <v>50</v>
      </c>
      <c r="E952" s="76">
        <f ca="1">IFERROR(__xludf.DUMMYFUNCTION("""COMPUTED_VALUE"""),280)</f>
        <v>280</v>
      </c>
      <c r="F952" s="77">
        <f ca="1">IFERROR(__xludf.DUMMYFUNCTION("""COMPUTED_VALUE"""),20140175)</f>
        <v>20140175</v>
      </c>
      <c r="G952" s="77" t="str">
        <f t="shared" ca="1" si="3"/>
        <v>si</v>
      </c>
    </row>
    <row r="953" spans="1:7" ht="12.75" x14ac:dyDescent="0.2">
      <c r="A953" s="62">
        <f ca="1">IFERROR(__xludf.DUMMYFUNCTION("""COMPUTED_VALUE"""),20140176)</f>
        <v>20140176</v>
      </c>
      <c r="B953" s="62" t="str">
        <f ca="1">IFERROR(__xludf.DUMMYFUNCTION("""COMPUTED_VALUE"""),"Trackpad Macbook Pro 13´- A2159")</f>
        <v>Trackpad Macbook Pro 13´- A2159</v>
      </c>
      <c r="C953" s="75">
        <f ca="1">IFERROR(__xludf.DUMMYFUNCTION("""COMPUTED_VALUE"""),230)</f>
        <v>230</v>
      </c>
      <c r="D953" s="75">
        <f ca="1">IFERROR(__xludf.DUMMYFUNCTION("""COMPUTED_VALUE"""),50)</f>
        <v>50</v>
      </c>
      <c r="E953" s="76">
        <f ca="1">IFERROR(__xludf.DUMMYFUNCTION("""COMPUTED_VALUE"""),280)</f>
        <v>280</v>
      </c>
      <c r="F953" s="77">
        <f ca="1">IFERROR(__xludf.DUMMYFUNCTION("""COMPUTED_VALUE"""),20140176)</f>
        <v>20140176</v>
      </c>
      <c r="G953" s="77" t="str">
        <f t="shared" ca="1" si="3"/>
        <v>si</v>
      </c>
    </row>
    <row r="954" spans="1:7" ht="12.75" x14ac:dyDescent="0.2">
      <c r="A954" s="62">
        <f ca="1">IFERROR(__xludf.DUMMYFUNCTION("""COMPUTED_VALUE"""),20140177)</f>
        <v>20140177</v>
      </c>
      <c r="B954" s="62" t="str">
        <f ca="1">IFERROR(__xludf.DUMMYFUNCTION("""COMPUTED_VALUE"""),"Trackpad Macbook Pro 13´- A2289")</f>
        <v>Trackpad Macbook Pro 13´- A2289</v>
      </c>
      <c r="C954" s="75">
        <f ca="1">IFERROR(__xludf.DUMMYFUNCTION("""COMPUTED_VALUE"""),450)</f>
        <v>450</v>
      </c>
      <c r="D954" s="75">
        <f ca="1">IFERROR(__xludf.DUMMYFUNCTION("""COMPUTED_VALUE"""),50)</f>
        <v>50</v>
      </c>
      <c r="E954" s="76">
        <f ca="1">IFERROR(__xludf.DUMMYFUNCTION("""COMPUTED_VALUE"""),500)</f>
        <v>500</v>
      </c>
      <c r="F954" s="77">
        <f ca="1">IFERROR(__xludf.DUMMYFUNCTION("""COMPUTED_VALUE"""),20140177)</f>
        <v>20140177</v>
      </c>
      <c r="G954" s="77" t="str">
        <f t="shared" ca="1" si="3"/>
        <v>si</v>
      </c>
    </row>
    <row r="955" spans="1:7" ht="12.75" x14ac:dyDescent="0.2">
      <c r="A955" s="62">
        <f ca="1">IFERROR(__xludf.DUMMYFUNCTION("""COMPUTED_VALUE"""),20140178)</f>
        <v>20140178</v>
      </c>
      <c r="B955" s="62" t="str">
        <f ca="1">IFERROR(__xludf.DUMMYFUNCTION("""COMPUTED_VALUE"""),"Trackpad Macbook Air 13´- A2337")</f>
        <v>Trackpad Macbook Air 13´- A2337</v>
      </c>
      <c r="C955" s="75">
        <f ca="1">IFERROR(__xludf.DUMMYFUNCTION("""COMPUTED_VALUE"""),340)</f>
        <v>340</v>
      </c>
      <c r="D955" s="75">
        <f ca="1">IFERROR(__xludf.DUMMYFUNCTION("""COMPUTED_VALUE"""),50)</f>
        <v>50</v>
      </c>
      <c r="E955" s="76">
        <f ca="1">IFERROR(__xludf.DUMMYFUNCTION("""COMPUTED_VALUE"""),390)</f>
        <v>390</v>
      </c>
      <c r="F955" s="77">
        <f ca="1">IFERROR(__xludf.DUMMYFUNCTION("""COMPUTED_VALUE"""),20140178)</f>
        <v>20140178</v>
      </c>
      <c r="G955" s="77" t="str">
        <f t="shared" ca="1" si="3"/>
        <v>si</v>
      </c>
    </row>
    <row r="956" spans="1:7" ht="12.75" x14ac:dyDescent="0.2">
      <c r="A956" s="62">
        <f ca="1">IFERROR(__xludf.DUMMYFUNCTION("""COMPUTED_VALUE"""),20140179)</f>
        <v>20140179</v>
      </c>
      <c r="B956" s="62" t="str">
        <f ca="1">IFERROR(__xludf.DUMMYFUNCTION("""COMPUTED_VALUE"""),"Trackpad Macbook Air 13´- A2179")</f>
        <v>Trackpad Macbook Air 13´- A2179</v>
      </c>
      <c r="C956" s="75">
        <f ca="1">IFERROR(__xludf.DUMMYFUNCTION("""COMPUTED_VALUE"""),310)</f>
        <v>310</v>
      </c>
      <c r="D956" s="75">
        <f ca="1">IFERROR(__xludf.DUMMYFUNCTION("""COMPUTED_VALUE"""),50)</f>
        <v>50</v>
      </c>
      <c r="E956" s="76">
        <f ca="1">IFERROR(__xludf.DUMMYFUNCTION("""COMPUTED_VALUE"""),360)</f>
        <v>360</v>
      </c>
      <c r="F956" s="77">
        <f ca="1">IFERROR(__xludf.DUMMYFUNCTION("""COMPUTED_VALUE"""),20140179)</f>
        <v>20140179</v>
      </c>
      <c r="G956" s="77" t="str">
        <f t="shared" ca="1" si="3"/>
        <v>si</v>
      </c>
    </row>
    <row r="957" spans="1:7" ht="12.75" x14ac:dyDescent="0.2">
      <c r="A957" s="62">
        <f ca="1">IFERROR(__xludf.DUMMYFUNCTION("""COMPUTED_VALUE"""),20140180)</f>
        <v>20140180</v>
      </c>
      <c r="B957" s="62" t="str">
        <f ca="1">IFERROR(__xludf.DUMMYFUNCTION("""COMPUTED_VALUE"""),"Trackpad Macbook Pro 13´- A2338")</f>
        <v>Trackpad Macbook Pro 13´- A2338</v>
      </c>
      <c r="C957" s="75">
        <f ca="1">IFERROR(__xludf.DUMMYFUNCTION("""COMPUTED_VALUE"""),360)</f>
        <v>360</v>
      </c>
      <c r="D957" s="75">
        <f ca="1">IFERROR(__xludf.DUMMYFUNCTION("""COMPUTED_VALUE"""),50)</f>
        <v>50</v>
      </c>
      <c r="E957" s="76">
        <f ca="1">IFERROR(__xludf.DUMMYFUNCTION("""COMPUTED_VALUE"""),410)</f>
        <v>410</v>
      </c>
      <c r="F957" s="77">
        <f ca="1">IFERROR(__xludf.DUMMYFUNCTION("""COMPUTED_VALUE"""),20140180)</f>
        <v>20140180</v>
      </c>
      <c r="G957" s="77" t="str">
        <f t="shared" ca="1" si="3"/>
        <v>si</v>
      </c>
    </row>
    <row r="958" spans="1:7" ht="12.75" x14ac:dyDescent="0.2">
      <c r="A958" s="62">
        <f ca="1">IFERROR(__xludf.DUMMYFUNCTION("""COMPUTED_VALUE"""),20140057)</f>
        <v>20140057</v>
      </c>
      <c r="B958" s="62" t="str">
        <f ca="1">IFERROR(__xludf.DUMMYFUNCTION("""COMPUTED_VALUE"""),"Pantalla A1398 - A1417 - A1618 - 1494 Año 2015 Macbook Pro")</f>
        <v>Pantalla A1398 - A1417 - A1618 - 1494 Año 2015 Macbook Pro</v>
      </c>
      <c r="C958" s="75">
        <f ca="1">IFERROR(__xludf.DUMMYFUNCTION("""COMPUTED_VALUE"""),2100)</f>
        <v>2100</v>
      </c>
      <c r="D958" s="75">
        <f ca="1">IFERROR(__xludf.DUMMYFUNCTION("""COMPUTED_VALUE"""),0)</f>
        <v>0</v>
      </c>
      <c r="E958" s="76">
        <f ca="1">IFERROR(__xludf.DUMMYFUNCTION("""COMPUTED_VALUE"""),2100)</f>
        <v>2100</v>
      </c>
      <c r="F958" s="77">
        <f ca="1">IFERROR(__xludf.DUMMYFUNCTION("""COMPUTED_VALUE"""),20140057)</f>
        <v>20140057</v>
      </c>
      <c r="G958" s="77" t="str">
        <f t="shared" ca="1" si="3"/>
        <v>si</v>
      </c>
    </row>
    <row r="959" spans="1:7" ht="12.75" x14ac:dyDescent="0.2">
      <c r="A959" s="62">
        <f ca="1">IFERROR(__xludf.DUMMYFUNCTION("""COMPUTED_VALUE"""),20140165)</f>
        <v>20140165</v>
      </c>
      <c r="B959" s="62" t="str">
        <f ca="1">IFERROR(__xludf.DUMMYFUNCTION("""COMPUTED_VALUE"""),"Pantalla A1398 - A1417 - A1618 - 1494 Año 2014 Macbook Pro")</f>
        <v>Pantalla A1398 - A1417 - A1618 - 1494 Año 2014 Macbook Pro</v>
      </c>
      <c r="C959" s="75">
        <f ca="1">IFERROR(__xludf.DUMMYFUNCTION("""COMPUTED_VALUE"""),2100)</f>
        <v>2100</v>
      </c>
      <c r="D959" s="75">
        <f ca="1">IFERROR(__xludf.DUMMYFUNCTION("""COMPUTED_VALUE"""),0)</f>
        <v>0</v>
      </c>
      <c r="E959" s="76">
        <f ca="1">IFERROR(__xludf.DUMMYFUNCTION("""COMPUTED_VALUE"""),2100)</f>
        <v>2100</v>
      </c>
      <c r="F959" s="77">
        <f ca="1">IFERROR(__xludf.DUMMYFUNCTION("""COMPUTED_VALUE"""),20140165)</f>
        <v>20140165</v>
      </c>
      <c r="G959" s="77" t="str">
        <f t="shared" ca="1" si="3"/>
        <v>si</v>
      </c>
    </row>
    <row r="960" spans="1:7" ht="12.75" x14ac:dyDescent="0.2">
      <c r="A960" s="62">
        <f ca="1">IFERROR(__xludf.DUMMYFUNCTION("""COMPUTED_VALUE"""),20140056)</f>
        <v>20140056</v>
      </c>
      <c r="B960" s="62" t="str">
        <f ca="1">IFERROR(__xludf.DUMMYFUNCTION("""COMPUTED_VALUE"""),"Pantalla A1382 - A1286 - A1321")</f>
        <v>Pantalla A1382 - A1286 - A1321</v>
      </c>
      <c r="C960" s="75">
        <f ca="1">IFERROR(__xludf.DUMMYFUNCTION("""COMPUTED_VALUE"""),800)</f>
        <v>800</v>
      </c>
      <c r="D960" s="75">
        <f ca="1">IFERROR(__xludf.DUMMYFUNCTION("""COMPUTED_VALUE"""),0)</f>
        <v>0</v>
      </c>
      <c r="E960" s="76">
        <f ca="1">IFERROR(__xludf.DUMMYFUNCTION("""COMPUTED_VALUE"""),800)</f>
        <v>800</v>
      </c>
      <c r="F960" s="77">
        <f ca="1">IFERROR(__xludf.DUMMYFUNCTION("""COMPUTED_VALUE"""),20140056)</f>
        <v>20140056</v>
      </c>
      <c r="G960" s="77" t="str">
        <f t="shared" ca="1" si="3"/>
        <v>si</v>
      </c>
    </row>
    <row r="961" spans="1:7" ht="12.75" x14ac:dyDescent="0.2">
      <c r="A961" s="62">
        <f ca="1">IFERROR(__xludf.DUMMYFUNCTION("""COMPUTED_VALUE"""),20140059)</f>
        <v>20140059</v>
      </c>
      <c r="B961" s="62" t="str">
        <f ca="1">IFERROR(__xludf.DUMMYFUNCTION("""COMPUTED_VALUE"""),"Pantalla A1466 - A1369 - A1405 - A1496 - A1377 (Semi)")</f>
        <v>Pantalla A1466 - A1369 - A1405 - A1496 - A1377 (Semi)</v>
      </c>
      <c r="C961" s="75">
        <f ca="1">IFERROR(__xludf.DUMMYFUNCTION("""COMPUTED_VALUE"""),700)</f>
        <v>700</v>
      </c>
      <c r="D961" s="75">
        <f ca="1">IFERROR(__xludf.DUMMYFUNCTION("""COMPUTED_VALUE"""),0)</f>
        <v>0</v>
      </c>
      <c r="E961" s="76">
        <f ca="1">IFERROR(__xludf.DUMMYFUNCTION("""COMPUTED_VALUE"""),700)</f>
        <v>700</v>
      </c>
      <c r="F961" s="77">
        <f ca="1">IFERROR(__xludf.DUMMYFUNCTION("""COMPUTED_VALUE"""),20140059)</f>
        <v>20140059</v>
      </c>
      <c r="G961" s="77" t="str">
        <f t="shared" ca="1" si="3"/>
        <v>si</v>
      </c>
    </row>
    <row r="962" spans="1:7" ht="12.75" x14ac:dyDescent="0.2">
      <c r="A962" s="62">
        <f ca="1">IFERROR(__xludf.DUMMYFUNCTION("""COMPUTED_VALUE"""),20140060)</f>
        <v>20140060</v>
      </c>
      <c r="B962" s="62" t="str">
        <f ca="1">IFERROR(__xludf.DUMMYFUNCTION("""COMPUTED_VALUE"""),"Pantalla A1502 - A1493 - A1582 Año 2015 Macbook Pro ")</f>
        <v xml:space="preserve">Pantalla A1502 - A1493 - A1582 Año 2015 Macbook Pro </v>
      </c>
      <c r="C962" s="75">
        <f ca="1">IFERROR(__xludf.DUMMYFUNCTION("""COMPUTED_VALUE"""),2300)</f>
        <v>2300</v>
      </c>
      <c r="D962" s="75">
        <f ca="1">IFERROR(__xludf.DUMMYFUNCTION("""COMPUTED_VALUE"""),0)</f>
        <v>0</v>
      </c>
      <c r="E962" s="76">
        <f ca="1">IFERROR(__xludf.DUMMYFUNCTION("""COMPUTED_VALUE"""),2300)</f>
        <v>2300</v>
      </c>
      <c r="F962" s="77">
        <f ca="1">IFERROR(__xludf.DUMMYFUNCTION("""COMPUTED_VALUE"""),20140060)</f>
        <v>20140060</v>
      </c>
      <c r="G962" s="77" t="str">
        <f t="shared" ca="1" si="3"/>
        <v>si</v>
      </c>
    </row>
    <row r="963" spans="1:7" ht="12.75" x14ac:dyDescent="0.2">
      <c r="A963" s="62">
        <f ca="1">IFERROR(__xludf.DUMMYFUNCTION("""COMPUTED_VALUE"""),20140099)</f>
        <v>20140099</v>
      </c>
      <c r="B963" s="62" t="str">
        <f ca="1">IFERROR(__xludf.DUMMYFUNCTION("""COMPUTED_VALUE"""),"Pantalla A2141 16^^ (Semi)")</f>
        <v>Pantalla A2141 16^^ (Semi)</v>
      </c>
      <c r="C963" s="75">
        <f ca="1">IFERROR(__xludf.DUMMYFUNCTION("""COMPUTED_VALUE"""),2900)</f>
        <v>2900</v>
      </c>
      <c r="D963" s="75">
        <f ca="1">IFERROR(__xludf.DUMMYFUNCTION("""COMPUTED_VALUE"""),0)</f>
        <v>0</v>
      </c>
      <c r="E963" s="76">
        <f ca="1">IFERROR(__xludf.DUMMYFUNCTION("""COMPUTED_VALUE"""),2900)</f>
        <v>2900</v>
      </c>
      <c r="F963" s="77">
        <f ca="1">IFERROR(__xludf.DUMMYFUNCTION("""COMPUTED_VALUE"""),20140099)</f>
        <v>20140099</v>
      </c>
      <c r="G963" s="77" t="str">
        <f t="shared" ca="1" si="3"/>
        <v>si</v>
      </c>
    </row>
    <row r="964" spans="1:7" ht="12.75" x14ac:dyDescent="0.2">
      <c r="A964" s="62">
        <f ca="1">IFERROR(__xludf.DUMMYFUNCTION("""COMPUTED_VALUE"""),20140063)</f>
        <v>20140063</v>
      </c>
      <c r="B964" s="62" t="str">
        <f ca="1">IFERROR(__xludf.DUMMYFUNCTION("""COMPUTED_VALUE"""),"Pantalla A1707 - A1820 año 2016 - 2017 Macbook Pro (Semi)")</f>
        <v>Pantalla A1707 - A1820 año 2016 - 2017 Macbook Pro (Semi)</v>
      </c>
      <c r="C964" s="75">
        <f ca="1">IFERROR(__xludf.DUMMYFUNCTION("""COMPUTED_VALUE"""),2900)</f>
        <v>2900</v>
      </c>
      <c r="D964" s="75">
        <f ca="1">IFERROR(__xludf.DUMMYFUNCTION("""COMPUTED_VALUE"""),0)</f>
        <v>0</v>
      </c>
      <c r="E964" s="76">
        <f ca="1">IFERROR(__xludf.DUMMYFUNCTION("""COMPUTED_VALUE"""),2900)</f>
        <v>2900</v>
      </c>
      <c r="F964" s="77">
        <f ca="1">IFERROR(__xludf.DUMMYFUNCTION("""COMPUTED_VALUE"""),20140063)</f>
        <v>20140063</v>
      </c>
      <c r="G964" s="77" t="str">
        <f t="shared" ca="1" si="3"/>
        <v>si</v>
      </c>
    </row>
    <row r="965" spans="1:7" ht="12.75" x14ac:dyDescent="0.2">
      <c r="A965" s="62">
        <f ca="1">IFERROR(__xludf.DUMMYFUNCTION("""COMPUTED_VALUE"""),20140065)</f>
        <v>20140065</v>
      </c>
      <c r="B965" s="62" t="str">
        <f ca="1">IFERROR(__xludf.DUMMYFUNCTION("""COMPUTED_VALUE"""),"Pantalla A1953 - A1990 año 2018 Macbook Pro 15"" (Semi)")</f>
        <v>Pantalla A1953 - A1990 año 2018 Macbook Pro 15" (Semi)</v>
      </c>
      <c r="C965" s="75">
        <f ca="1">IFERROR(__xludf.DUMMYFUNCTION("""COMPUTED_VALUE"""),2900)</f>
        <v>2900</v>
      </c>
      <c r="D965" s="75">
        <f ca="1">IFERROR(__xludf.DUMMYFUNCTION("""COMPUTED_VALUE"""),0)</f>
        <v>0</v>
      </c>
      <c r="E965" s="76">
        <f ca="1">IFERROR(__xludf.DUMMYFUNCTION("""COMPUTED_VALUE"""),2900)</f>
        <v>2900</v>
      </c>
      <c r="F965" s="77">
        <f ca="1">IFERROR(__xludf.DUMMYFUNCTION("""COMPUTED_VALUE"""),20140065)</f>
        <v>20140065</v>
      </c>
      <c r="G965" s="77" t="str">
        <f t="shared" ca="1" si="3"/>
        <v>si</v>
      </c>
    </row>
    <row r="966" spans="1:7" ht="12.75" x14ac:dyDescent="0.2">
      <c r="A966" s="62">
        <f ca="1">IFERROR(__xludf.DUMMYFUNCTION("""COMPUTED_VALUE"""),20140062)</f>
        <v>20140062</v>
      </c>
      <c r="B966" s="62" t="str">
        <f ca="1">IFERROR(__xludf.DUMMYFUNCTION("""COMPUTED_VALUE"""),"Pantalla A1706 - A1819 Pro 2016 -  2017 - A1708 Pro 2016 -  2017")</f>
        <v>Pantalla A1706 - A1819 Pro 2016 -  2017 - A1708 Pro 2016 -  2017</v>
      </c>
      <c r="C966" s="75">
        <f ca="1">IFERROR(__xludf.DUMMYFUNCTION("""COMPUTED_VALUE"""),1700)</f>
        <v>1700</v>
      </c>
      <c r="D966" s="75">
        <f ca="1">IFERROR(__xludf.DUMMYFUNCTION("""COMPUTED_VALUE"""),100)</f>
        <v>100</v>
      </c>
      <c r="E966" s="76">
        <f ca="1">IFERROR(__xludf.DUMMYFUNCTION("""COMPUTED_VALUE"""),1800)</f>
        <v>1800</v>
      </c>
      <c r="F966" s="77">
        <f ca="1">IFERROR(__xludf.DUMMYFUNCTION("""COMPUTED_VALUE"""),20140062)</f>
        <v>20140062</v>
      </c>
      <c r="G966" s="77" t="str">
        <f t="shared" ca="1" si="3"/>
        <v>si</v>
      </c>
    </row>
    <row r="967" spans="1:7" ht="12.75" x14ac:dyDescent="0.2">
      <c r="A967" s="62">
        <f ca="1">IFERROR(__xludf.DUMMYFUNCTION("""COMPUTED_VALUE"""),20140066)</f>
        <v>20140066</v>
      </c>
      <c r="B967" s="62" t="str">
        <f ca="1">IFERROR(__xludf.DUMMYFUNCTION("""COMPUTED_VALUE"""),"Pantalla A2159 Pro 2019 / A1989 Pro 2018 / A1964 / A2289 - A2251  Macbook Pro 2020")</f>
        <v>Pantalla A2159 Pro 2019 / A1989 Pro 2018 / A1964 / A2289 - A2251  Macbook Pro 2020</v>
      </c>
      <c r="C967" s="75">
        <f ca="1">IFERROR(__xludf.DUMMYFUNCTION("""COMPUTED_VALUE"""),1700)</f>
        <v>1700</v>
      </c>
      <c r="D967" s="75">
        <f ca="1">IFERROR(__xludf.DUMMYFUNCTION("""COMPUTED_VALUE"""),100)</f>
        <v>100</v>
      </c>
      <c r="E967" s="76">
        <f ca="1">IFERROR(__xludf.DUMMYFUNCTION("""COMPUTED_VALUE"""),1800)</f>
        <v>1800</v>
      </c>
      <c r="F967" s="77">
        <f ca="1">IFERROR(__xludf.DUMMYFUNCTION("""COMPUTED_VALUE"""),20140066)</f>
        <v>20140066</v>
      </c>
      <c r="G967" s="77" t="str">
        <f t="shared" ca="1" si="3"/>
        <v>si</v>
      </c>
    </row>
    <row r="968" spans="1:7" ht="12.75" x14ac:dyDescent="0.2">
      <c r="A968" s="62">
        <f ca="1">IFERROR(__xludf.DUMMYFUNCTION("""COMPUTED_VALUE"""),20140061)</f>
        <v>20140061</v>
      </c>
      <c r="B968" s="62" t="str">
        <f ca="1">IFERROR(__xludf.DUMMYFUNCTION("""COMPUTED_VALUE"""),"Pantalla A1534 - A1527 - A1705")</f>
        <v>Pantalla A1534 - A1527 - A1705</v>
      </c>
      <c r="C968" s="75">
        <f ca="1">IFERROR(__xludf.DUMMYFUNCTION("""COMPUTED_VALUE"""),1900)</f>
        <v>1900</v>
      </c>
      <c r="D968" s="75">
        <f ca="1">IFERROR(__xludf.DUMMYFUNCTION("""COMPUTED_VALUE"""),200)</f>
        <v>200</v>
      </c>
      <c r="E968" s="76">
        <f ca="1">IFERROR(__xludf.DUMMYFUNCTION("""COMPUTED_VALUE"""),2100)</f>
        <v>2100</v>
      </c>
      <c r="F968" s="77">
        <f ca="1">IFERROR(__xludf.DUMMYFUNCTION("""COMPUTED_VALUE"""),20140061)</f>
        <v>20140061</v>
      </c>
      <c r="G968" s="77" t="str">
        <f t="shared" ca="1" si="3"/>
        <v>si</v>
      </c>
    </row>
    <row r="969" spans="1:7" ht="12.75" x14ac:dyDescent="0.2">
      <c r="A969" s="62">
        <f ca="1">IFERROR(__xludf.DUMMYFUNCTION("""COMPUTED_VALUE"""),20140067)</f>
        <v>20140067</v>
      </c>
      <c r="B969" s="62" t="str">
        <f ca="1">IFERROR(__xludf.DUMMYFUNCTION("""COMPUTED_VALUE"""),"Pantalla Macbook A2681 MacBook Air (M2, 2022)")</f>
        <v>Pantalla Macbook A2681 MacBook Air (M2, 2022)</v>
      </c>
      <c r="C969" s="75">
        <f ca="1">IFERROR(__xludf.DUMMYFUNCTION("""COMPUTED_VALUE"""),2600)</f>
        <v>2600</v>
      </c>
      <c r="D969" s="62"/>
      <c r="E969" s="76">
        <f ca="1">IFERROR(__xludf.DUMMYFUNCTION("""COMPUTED_VALUE"""),2600)</f>
        <v>2600</v>
      </c>
      <c r="F969" s="77">
        <f ca="1">IFERROR(__xludf.DUMMYFUNCTION("""COMPUTED_VALUE"""),20140067)</f>
        <v>20140067</v>
      </c>
      <c r="G969" s="77" t="str">
        <f t="shared" ca="1" si="3"/>
        <v>si</v>
      </c>
    </row>
    <row r="970" spans="1:7" ht="12.75" x14ac:dyDescent="0.2">
      <c r="A970" s="62">
        <f ca="1">IFERROR(__xludf.DUMMYFUNCTION("""COMPUTED_VALUE"""),20050025)</f>
        <v>20050025</v>
      </c>
      <c r="B970" s="62"/>
      <c r="C970" s="75">
        <f ca="1">IFERROR(__xludf.DUMMYFUNCTION("""COMPUTED_VALUE"""),1700)</f>
        <v>1700</v>
      </c>
      <c r="D970" s="75">
        <f ca="1">IFERROR(__xludf.DUMMYFUNCTION("""COMPUTED_VALUE"""),100)</f>
        <v>100</v>
      </c>
      <c r="E970" s="76">
        <f ca="1">IFERROR(__xludf.DUMMYFUNCTION("""COMPUTED_VALUE"""),1800)</f>
        <v>1800</v>
      </c>
      <c r="F970" s="77">
        <f ca="1">IFERROR(__xludf.DUMMYFUNCTION("""COMPUTED_VALUE"""),20050025)</f>
        <v>20050025</v>
      </c>
      <c r="G970" s="77" t="str">
        <f t="shared" ca="1" si="3"/>
        <v>si</v>
      </c>
    </row>
    <row r="971" spans="1:7" ht="12.75" x14ac:dyDescent="0.2">
      <c r="A971" s="62">
        <f ca="1">IFERROR(__xludf.DUMMYFUNCTION("""COMPUTED_VALUE"""),20140064)</f>
        <v>20140064</v>
      </c>
      <c r="B971" s="62" t="str">
        <f ca="1">IFERROR(__xludf.DUMMYFUNCTION("""COMPUTED_VALUE"""),"Pantalla A1932 Año 2018 Macbook Air 13""")</f>
        <v>Pantalla A1932 Año 2018 Macbook Air 13"</v>
      </c>
      <c r="C971" s="75">
        <f ca="1">IFERROR(__xludf.DUMMYFUNCTION("""COMPUTED_VALUE"""),1700)</f>
        <v>1700</v>
      </c>
      <c r="D971" s="75">
        <f ca="1">IFERROR(__xludf.DUMMYFUNCTION("""COMPUTED_VALUE"""),100)</f>
        <v>100</v>
      </c>
      <c r="E971" s="76">
        <f ca="1">IFERROR(__xludf.DUMMYFUNCTION("""COMPUTED_VALUE"""),1800)</f>
        <v>1800</v>
      </c>
      <c r="F971" s="77">
        <f ca="1">IFERROR(__xludf.DUMMYFUNCTION("""COMPUTED_VALUE"""),20140064)</f>
        <v>20140064</v>
      </c>
      <c r="G971" s="77" t="str">
        <f t="shared" ca="1" si="3"/>
        <v>si</v>
      </c>
    </row>
    <row r="972" spans="1:7" ht="12.75" x14ac:dyDescent="0.2">
      <c r="A972" s="62">
        <f ca="1">IFERROR(__xludf.DUMMYFUNCTION("""COMPUTED_VALUE"""),20050026)</f>
        <v>20050026</v>
      </c>
      <c r="B972" s="62" t="str">
        <f ca="1">IFERROR(__xludf.DUMMYFUNCTION("""COMPUTED_VALUE"""),"Pantalla A2337 Air M1 2020")</f>
        <v>Pantalla A2337 Air M1 2020</v>
      </c>
      <c r="C972" s="75">
        <f ca="1">IFERROR(__xludf.DUMMYFUNCTION("""COMPUTED_VALUE"""),1700)</f>
        <v>1700</v>
      </c>
      <c r="D972" s="75">
        <f ca="1">IFERROR(__xludf.DUMMYFUNCTION("""COMPUTED_VALUE"""),100)</f>
        <v>100</v>
      </c>
      <c r="E972" s="76">
        <f ca="1">IFERROR(__xludf.DUMMYFUNCTION("""COMPUTED_VALUE"""),1800)</f>
        <v>1800</v>
      </c>
      <c r="F972" s="77">
        <f ca="1">IFERROR(__xludf.DUMMYFUNCTION("""COMPUTED_VALUE"""),20050026)</f>
        <v>20050026</v>
      </c>
      <c r="G972" s="77" t="str">
        <f t="shared" ca="1" si="3"/>
        <v>si</v>
      </c>
    </row>
    <row r="973" spans="1:7" ht="12.75" x14ac:dyDescent="0.2">
      <c r="A973" s="62">
        <f ca="1">IFERROR(__xludf.DUMMYFUNCTION("""COMPUTED_VALUE"""),20140100)</f>
        <v>20140100</v>
      </c>
      <c r="B973" s="62" t="str">
        <f ca="1">IFERROR(__xludf.DUMMYFUNCTION("""COMPUTED_VALUE"""),"Pantalla A2179 Air (2020) /A1932 (2019)")</f>
        <v>Pantalla A2179 Air (2020) /A1932 (2019)</v>
      </c>
      <c r="C973" s="75">
        <f ca="1">IFERROR(__xludf.DUMMYFUNCTION("""COMPUTED_VALUE"""),1700)</f>
        <v>1700</v>
      </c>
      <c r="D973" s="75">
        <f ca="1">IFERROR(__xludf.DUMMYFUNCTION("""COMPUTED_VALUE"""),100)</f>
        <v>100</v>
      </c>
      <c r="E973" s="76">
        <f ca="1">IFERROR(__xludf.DUMMYFUNCTION("""COMPUTED_VALUE"""),1800)</f>
        <v>1800</v>
      </c>
      <c r="F973" s="77">
        <f ca="1">IFERROR(__xludf.DUMMYFUNCTION("""COMPUTED_VALUE"""),20140100)</f>
        <v>20140100</v>
      </c>
      <c r="G973" s="77" t="str">
        <f t="shared" ca="1" si="3"/>
        <v>si</v>
      </c>
    </row>
    <row r="974" spans="1:7" ht="12.75" x14ac:dyDescent="0.2">
      <c r="A974" s="62">
        <f ca="1">IFERROR(__xludf.DUMMYFUNCTION("""COMPUTED_VALUE"""),20140101)</f>
        <v>20140101</v>
      </c>
      <c r="B974" s="62" t="str">
        <f ca="1">IFERROR(__xludf.DUMMYFUNCTION("""COMPUTED_VALUE"""),"Pantalla A2338 Pro M1")</f>
        <v>Pantalla A2338 Pro M1</v>
      </c>
      <c r="C974" s="75">
        <f ca="1">IFERROR(__xludf.DUMMYFUNCTION("""COMPUTED_VALUE"""),1900)</f>
        <v>1900</v>
      </c>
      <c r="D974" s="75">
        <f ca="1">IFERROR(__xludf.DUMMYFUNCTION("""COMPUTED_VALUE"""),100)</f>
        <v>100</v>
      </c>
      <c r="E974" s="76">
        <f ca="1">IFERROR(__xludf.DUMMYFUNCTION("""COMPUTED_VALUE"""),2000)</f>
        <v>2000</v>
      </c>
      <c r="F974" s="77">
        <f ca="1">IFERROR(__xludf.DUMMYFUNCTION("""COMPUTED_VALUE"""),20140101)</f>
        <v>20140101</v>
      </c>
      <c r="G974" s="77" t="str">
        <f t="shared" ca="1" si="3"/>
        <v>si</v>
      </c>
    </row>
    <row r="975" spans="1:7" ht="12.75" x14ac:dyDescent="0.2">
      <c r="A975" s="62">
        <f ca="1">IFERROR(__xludf.DUMMYFUNCTION("""COMPUTED_VALUE"""),20140381)</f>
        <v>20140381</v>
      </c>
      <c r="B975" s="62"/>
      <c r="C975" s="75">
        <f ca="1">IFERROR(__xludf.DUMMYFUNCTION("""COMPUTED_VALUE"""),1700)</f>
        <v>1700</v>
      </c>
      <c r="D975" s="75">
        <f ca="1">IFERROR(__xludf.DUMMYFUNCTION("""COMPUTED_VALUE"""),100)</f>
        <v>100</v>
      </c>
      <c r="E975" s="76">
        <f ca="1">IFERROR(__xludf.DUMMYFUNCTION("""COMPUTED_VALUE"""),1800)</f>
        <v>1800</v>
      </c>
      <c r="F975" s="77">
        <f ca="1">IFERROR(__xludf.DUMMYFUNCTION("""COMPUTED_VALUE"""),20140381)</f>
        <v>20140381</v>
      </c>
      <c r="G975" s="77" t="str">
        <f t="shared" ca="1" si="3"/>
        <v>si</v>
      </c>
    </row>
    <row r="976" spans="1:7" ht="12.75" x14ac:dyDescent="0.2">
      <c r="A976" s="62">
        <f ca="1">IFERROR(__xludf.DUMMYFUNCTION("""COMPUTED_VALUE"""),10080042)</f>
        <v>10080042</v>
      </c>
      <c r="B976" s="62" t="str">
        <f ca="1">IFERROR(__xludf.DUMMYFUNCTION("""COMPUTED_VALUE"""),"Pencil Tip Cover (protector Goma Apple Pencil)")</f>
        <v>Pencil Tip Cover (protector Goma Apple Pencil)</v>
      </c>
      <c r="C976" s="75">
        <f ca="1">IFERROR(__xludf.DUMMYFUNCTION("""COMPUTED_VALUE"""),30)</f>
        <v>30</v>
      </c>
      <c r="D976" s="75">
        <f ca="1">IFERROR(__xludf.DUMMYFUNCTION("""COMPUTED_VALUE"""),0)</f>
        <v>0</v>
      </c>
      <c r="E976" s="76">
        <f ca="1">IFERROR(__xludf.DUMMYFUNCTION("""COMPUTED_VALUE"""),30)</f>
        <v>30</v>
      </c>
      <c r="F976" s="77">
        <f ca="1">IFERROR(__xludf.DUMMYFUNCTION("""COMPUTED_VALUE"""),10080042)</f>
        <v>10080042</v>
      </c>
      <c r="G976" s="77" t="str">
        <f t="shared" ca="1" si="3"/>
        <v>si</v>
      </c>
    </row>
    <row r="977" spans="1:7" ht="12.75" x14ac:dyDescent="0.2">
      <c r="A977" s="62">
        <f ca="1">IFERROR(__xludf.DUMMYFUNCTION("""COMPUTED_VALUE"""),10080059)</f>
        <v>10080059</v>
      </c>
      <c r="B977" s="62" t="str">
        <f ca="1">IFERROR(__xludf.DUMMYFUNCTION("""COMPUTED_VALUE"""),"Wisdon Charguer CD-A19 (Toma corriente USB)")</f>
        <v>Wisdon Charguer CD-A19 (Toma corriente USB)</v>
      </c>
      <c r="C977" s="75">
        <f ca="1">IFERROR(__xludf.DUMMYFUNCTION("""COMPUTED_VALUE"""),90)</f>
        <v>90</v>
      </c>
      <c r="D977" s="75">
        <f ca="1">IFERROR(__xludf.DUMMYFUNCTION("""COMPUTED_VALUE"""),0)</f>
        <v>0</v>
      </c>
      <c r="E977" s="76">
        <f ca="1">IFERROR(__xludf.DUMMYFUNCTION("""COMPUTED_VALUE"""),90)</f>
        <v>90</v>
      </c>
      <c r="F977" s="77">
        <f ca="1">IFERROR(__xludf.DUMMYFUNCTION("""COMPUTED_VALUE"""),10080059)</f>
        <v>10080059</v>
      </c>
      <c r="G977" s="77" t="str">
        <f t="shared" ca="1" si="3"/>
        <v>si</v>
      </c>
    </row>
    <row r="978" spans="1:7" ht="12.75" x14ac:dyDescent="0.2">
      <c r="A978" s="62">
        <f ca="1">IFERROR(__xludf.DUMMYFUNCTION("""COMPUTED_VALUE"""),20130023)</f>
        <v>20130023</v>
      </c>
      <c r="B978" s="62" t="str">
        <f ca="1">IFERROR(__xludf.DUMMYFUNCTION("""COMPUTED_VALUE"""),"TG157 Led speaker (Parlante Bluetooh)")</f>
        <v>TG157 Led speaker (Parlante Bluetooh)</v>
      </c>
      <c r="C978" s="75">
        <f ca="1">IFERROR(__xludf.DUMMYFUNCTION("""COMPUTED_VALUE"""),50)</f>
        <v>50</v>
      </c>
      <c r="D978" s="75">
        <f ca="1">IFERROR(__xludf.DUMMYFUNCTION("""COMPUTED_VALUE"""),0)</f>
        <v>0</v>
      </c>
      <c r="E978" s="76">
        <f ca="1">IFERROR(__xludf.DUMMYFUNCTION("""COMPUTED_VALUE"""),50)</f>
        <v>50</v>
      </c>
      <c r="F978" s="77">
        <f ca="1">IFERROR(__xludf.DUMMYFUNCTION("""COMPUTED_VALUE"""),20130023)</f>
        <v>20130023</v>
      </c>
      <c r="G978" s="77" t="str">
        <f t="shared" ca="1" si="3"/>
        <v>si</v>
      </c>
    </row>
    <row r="979" spans="1:7" ht="12.75" x14ac:dyDescent="0.2">
      <c r="A979" s="62">
        <f ca="1">IFERROR(__xludf.DUMMYFUNCTION("""COMPUTED_VALUE"""),20130013)</f>
        <v>20130013</v>
      </c>
      <c r="B979" s="62" t="str">
        <f ca="1">IFERROR(__xludf.DUMMYFUNCTION("""COMPUTED_VALUE"""),"Foldable Laptop Stand (Base para Laptop)")</f>
        <v>Foldable Laptop Stand (Base para Laptop)</v>
      </c>
      <c r="C979" s="75">
        <f ca="1">IFERROR(__xludf.DUMMYFUNCTION("""COMPUTED_VALUE"""),30)</f>
        <v>30</v>
      </c>
      <c r="D979" s="75">
        <f ca="1">IFERROR(__xludf.DUMMYFUNCTION("""COMPUTED_VALUE"""),0)</f>
        <v>0</v>
      </c>
      <c r="E979" s="76">
        <f ca="1">IFERROR(__xludf.DUMMYFUNCTION("""COMPUTED_VALUE"""),30)</f>
        <v>30</v>
      </c>
      <c r="F979" s="77">
        <f ca="1">IFERROR(__xludf.DUMMYFUNCTION("""COMPUTED_VALUE"""),20130013)</f>
        <v>20130013</v>
      </c>
      <c r="G979" s="77" t="str">
        <f t="shared" ca="1" si="3"/>
        <v>si</v>
      </c>
    </row>
    <row r="980" spans="1:7" ht="12.75" x14ac:dyDescent="0.2">
      <c r="A980" s="62">
        <f ca="1">IFERROR(__xludf.DUMMYFUNCTION("""COMPUTED_VALUE"""),20130005)</f>
        <v>20130005</v>
      </c>
      <c r="B980" s="62" t="str">
        <f ca="1">IFERROR(__xludf.DUMMYFUNCTION("""COMPUTED_VALUE"""),"Bluetooth numeric keypad (teclado numerico)")</f>
        <v>Bluetooth numeric keypad (teclado numerico)</v>
      </c>
      <c r="C980" s="75">
        <f ca="1">IFERROR(__xludf.DUMMYFUNCTION("""COMPUTED_VALUE"""),190)</f>
        <v>190</v>
      </c>
      <c r="D980" s="75">
        <f ca="1">IFERROR(__xludf.DUMMYFUNCTION("""COMPUTED_VALUE"""),0)</f>
        <v>0</v>
      </c>
      <c r="E980" s="76">
        <f ca="1">IFERROR(__xludf.DUMMYFUNCTION("""COMPUTED_VALUE"""),190)</f>
        <v>190</v>
      </c>
      <c r="F980" s="77">
        <f ca="1">IFERROR(__xludf.DUMMYFUNCTION("""COMPUTED_VALUE"""),20130005)</f>
        <v>20130005</v>
      </c>
      <c r="G980" s="77" t="str">
        <f t="shared" ca="1" si="3"/>
        <v>si</v>
      </c>
    </row>
    <row r="981" spans="1:7" ht="12.75" x14ac:dyDescent="0.2">
      <c r="A981" s="62">
        <f ca="1">IFERROR(__xludf.DUMMYFUNCTION("""COMPUTED_VALUE"""),20130002)</f>
        <v>20130002</v>
      </c>
      <c r="B981" s="62" t="str">
        <f ca="1">IFERROR(__xludf.DUMMYFUNCTION("""COMPUTED_VALUE"""),"A11 bluetooth speaker (parlantes Pequeños)")</f>
        <v>A11 bluetooth speaker (parlantes Pequeños)</v>
      </c>
      <c r="C981" s="75">
        <f ca="1">IFERROR(__xludf.DUMMYFUNCTION("""COMPUTED_VALUE"""),15)</f>
        <v>15</v>
      </c>
      <c r="D981" s="75">
        <f ca="1">IFERROR(__xludf.DUMMYFUNCTION("""COMPUTED_VALUE"""),0)</f>
        <v>0</v>
      </c>
      <c r="E981" s="76">
        <f ca="1">IFERROR(__xludf.DUMMYFUNCTION("""COMPUTED_VALUE"""),15)</f>
        <v>15</v>
      </c>
      <c r="F981" s="77">
        <f ca="1">IFERROR(__xludf.DUMMYFUNCTION("""COMPUTED_VALUE"""),20130002)</f>
        <v>20130002</v>
      </c>
      <c r="G981" s="77" t="str">
        <f t="shared" ca="1" si="3"/>
        <v>si</v>
      </c>
    </row>
    <row r="982" spans="1:7" ht="12.75" x14ac:dyDescent="0.2">
      <c r="A982" s="62">
        <f ca="1">IFERROR(__xludf.DUMMYFUNCTION("""COMPUTED_VALUE"""),10080058)</f>
        <v>10080058</v>
      </c>
      <c r="B982" s="62" t="str">
        <f ca="1">IFERROR(__xludf.DUMMYFUNCTION("""COMPUTED_VALUE"""),"VR Box  (Lentes Celulares)")</f>
        <v>VR Box  (Lentes Celulares)</v>
      </c>
      <c r="C982" s="75">
        <f ca="1">IFERROR(__xludf.DUMMYFUNCTION("""COMPUTED_VALUE"""),30)</f>
        <v>30</v>
      </c>
      <c r="D982" s="75">
        <f ca="1">IFERROR(__xludf.DUMMYFUNCTION("""COMPUTED_VALUE"""),0)</f>
        <v>0</v>
      </c>
      <c r="E982" s="76">
        <f ca="1">IFERROR(__xludf.DUMMYFUNCTION("""COMPUTED_VALUE"""),30)</f>
        <v>30</v>
      </c>
      <c r="F982" s="77">
        <f ca="1">IFERROR(__xludf.DUMMYFUNCTION("""COMPUTED_VALUE"""),10080058)</f>
        <v>10080058</v>
      </c>
      <c r="G982" s="77" t="str">
        <f t="shared" ca="1" si="3"/>
        <v>si</v>
      </c>
    </row>
    <row r="983" spans="1:7" ht="12.75" x14ac:dyDescent="0.2">
      <c r="A983" s="62">
        <f ca="1">IFERROR(__xludf.DUMMYFUNCTION("""COMPUTED_VALUE"""),20130024)</f>
        <v>20130024</v>
      </c>
      <c r="B983" s="62" t="str">
        <f ca="1">IFERROR(__xludf.DUMMYFUNCTION("""COMPUTED_VALUE"""),"Typo C-RJ45 10 / 100Mbps  (Adaptador Usb a Red)")</f>
        <v>Typo C-RJ45 10 / 100Mbps  (Adaptador Usb a Red)</v>
      </c>
      <c r="C983" s="75">
        <f ca="1">IFERROR(__xludf.DUMMYFUNCTION("""COMPUTED_VALUE"""),50)</f>
        <v>50</v>
      </c>
      <c r="D983" s="75">
        <f ca="1">IFERROR(__xludf.DUMMYFUNCTION("""COMPUTED_VALUE"""),0)</f>
        <v>0</v>
      </c>
      <c r="E983" s="76">
        <f ca="1">IFERROR(__xludf.DUMMYFUNCTION("""COMPUTED_VALUE"""),50)</f>
        <v>50</v>
      </c>
      <c r="F983" s="77">
        <f ca="1">IFERROR(__xludf.DUMMYFUNCTION("""COMPUTED_VALUE"""),20130024)</f>
        <v>20130024</v>
      </c>
      <c r="G983" s="77" t="str">
        <f t="shared" ca="1" si="3"/>
        <v>si</v>
      </c>
    </row>
    <row r="984" spans="1:7" ht="12.75" x14ac:dyDescent="0.2">
      <c r="A984" s="62">
        <f ca="1">IFERROR(__xludf.DUMMYFUNCTION("""COMPUTED_VALUE"""),10080015)</f>
        <v>10080015</v>
      </c>
      <c r="B984" s="62" t="str">
        <f ca="1">IFERROR(__xludf.DUMMYFUNCTION("""COMPUTED_VALUE"""),"C20 wirless charger (Cargador Para Auto)")</f>
        <v>C20 wirless charger (Cargador Para Auto)</v>
      </c>
      <c r="C984" s="75">
        <f ca="1">IFERROR(__xludf.DUMMYFUNCTION("""COMPUTED_VALUE"""),60)</f>
        <v>60</v>
      </c>
      <c r="D984" s="75">
        <f ca="1">IFERROR(__xludf.DUMMYFUNCTION("""COMPUTED_VALUE"""),0)</f>
        <v>0</v>
      </c>
      <c r="E984" s="76">
        <f ca="1">IFERROR(__xludf.DUMMYFUNCTION("""COMPUTED_VALUE"""),60)</f>
        <v>60</v>
      </c>
      <c r="F984" s="77">
        <f ca="1">IFERROR(__xludf.DUMMYFUNCTION("""COMPUTED_VALUE"""),10080015)</f>
        <v>10080015</v>
      </c>
      <c r="G984" s="77" t="str">
        <f t="shared" ca="1" si="3"/>
        <v>si</v>
      </c>
    </row>
    <row r="985" spans="1:7" ht="12.75" x14ac:dyDescent="0.2">
      <c r="A985" s="62">
        <f ca="1">IFERROR(__xludf.DUMMYFUNCTION("""COMPUTED_VALUE"""),10080001)</f>
        <v>10080001</v>
      </c>
      <c r="B985" s="62" t="str">
        <f ca="1">IFERROR(__xludf.DUMMYFUNCTION("""COMPUTED_VALUE"""),"10 in 1 USB3.1 Hub (Base Hub)")</f>
        <v>10 in 1 USB3.1 Hub (Base Hub)</v>
      </c>
      <c r="C985" s="75">
        <f ca="1">IFERROR(__xludf.DUMMYFUNCTION("""COMPUTED_VALUE"""),160)</f>
        <v>160</v>
      </c>
      <c r="D985" s="75">
        <f ca="1">IFERROR(__xludf.DUMMYFUNCTION("""COMPUTED_VALUE"""),0)</f>
        <v>0</v>
      </c>
      <c r="E985" s="76">
        <f ca="1">IFERROR(__xludf.DUMMYFUNCTION("""COMPUTED_VALUE"""),160)</f>
        <v>160</v>
      </c>
      <c r="F985" s="77">
        <f ca="1">IFERROR(__xludf.DUMMYFUNCTION("""COMPUTED_VALUE"""),10080001)</f>
        <v>10080001</v>
      </c>
      <c r="G985" s="77" t="str">
        <f t="shared" ca="1" si="3"/>
        <v>si</v>
      </c>
    </row>
    <row r="986" spans="1:7" ht="12.75" x14ac:dyDescent="0.2">
      <c r="A986" s="62">
        <f ca="1">IFERROR(__xludf.DUMMYFUNCTION("""COMPUTED_VALUE"""),10080040)</f>
        <v>10080040</v>
      </c>
      <c r="B986" s="62" t="str">
        <f ca="1">IFERROR(__xludf.DUMMYFUNCTION("""COMPUTED_VALUE"""),"Moft X phone holder (Base para Celular)")</f>
        <v>Moft X phone holder (Base para Celular)</v>
      </c>
      <c r="C986" s="75">
        <f ca="1">IFERROR(__xludf.DUMMYFUNCTION("""COMPUTED_VALUE"""),20)</f>
        <v>20</v>
      </c>
      <c r="D986" s="75">
        <f ca="1">IFERROR(__xludf.DUMMYFUNCTION("""COMPUTED_VALUE"""),0)</f>
        <v>0</v>
      </c>
      <c r="E986" s="76">
        <f ca="1">IFERROR(__xludf.DUMMYFUNCTION("""COMPUTED_VALUE"""),20)</f>
        <v>20</v>
      </c>
      <c r="F986" s="77">
        <f ca="1">IFERROR(__xludf.DUMMYFUNCTION("""COMPUTED_VALUE"""),10080040)</f>
        <v>10080040</v>
      </c>
      <c r="G986" s="77" t="str">
        <f t="shared" ca="1" si="3"/>
        <v>si</v>
      </c>
    </row>
    <row r="987" spans="1:7" ht="12.75" x14ac:dyDescent="0.2">
      <c r="A987" s="62">
        <f ca="1">IFERROR(__xludf.DUMMYFUNCTION("""COMPUTED_VALUE"""),10080039)</f>
        <v>10080039</v>
      </c>
      <c r="B987" s="62" t="str">
        <f ca="1">IFERROR(__xludf.DUMMYFUNCTION("""COMPUTED_VALUE"""),"Moft Ipad holder (Base para Ipad)")</f>
        <v>Moft Ipad holder (Base para Ipad)</v>
      </c>
      <c r="C987" s="75">
        <f ca="1">IFERROR(__xludf.DUMMYFUNCTION("""COMPUTED_VALUE"""),30)</f>
        <v>30</v>
      </c>
      <c r="D987" s="75">
        <f ca="1">IFERROR(__xludf.DUMMYFUNCTION("""COMPUTED_VALUE"""),0)</f>
        <v>0</v>
      </c>
      <c r="E987" s="76">
        <f ca="1">IFERROR(__xludf.DUMMYFUNCTION("""COMPUTED_VALUE"""),30)</f>
        <v>30</v>
      </c>
      <c r="F987" s="77">
        <f ca="1">IFERROR(__xludf.DUMMYFUNCTION("""COMPUTED_VALUE"""),10080039)</f>
        <v>10080039</v>
      </c>
      <c r="G987" s="77" t="str">
        <f t="shared" ca="1" si="3"/>
        <v>si</v>
      </c>
    </row>
    <row r="988" spans="1:7" ht="12.75" x14ac:dyDescent="0.2">
      <c r="A988" s="62">
        <f ca="1">IFERROR(__xludf.DUMMYFUNCTION("""COMPUTED_VALUE"""),10080060)</f>
        <v>10080060</v>
      </c>
      <c r="B988" s="62" t="str">
        <f ca="1">IFERROR(__xludf.DUMMYFUNCTION("""COMPUTED_VALUE"""),"Xiaomi metal mouse pad (Mouse pad)")</f>
        <v>Xiaomi metal mouse pad (Mouse pad)</v>
      </c>
      <c r="C988" s="75">
        <f ca="1">IFERROR(__xludf.DUMMYFUNCTION("""COMPUTED_VALUE"""),50)</f>
        <v>50</v>
      </c>
      <c r="D988" s="75">
        <f ca="1">IFERROR(__xludf.DUMMYFUNCTION("""COMPUTED_VALUE"""),0)</f>
        <v>0</v>
      </c>
      <c r="E988" s="76">
        <f ca="1">IFERROR(__xludf.DUMMYFUNCTION("""COMPUTED_VALUE"""),50)</f>
        <v>50</v>
      </c>
      <c r="F988" s="77">
        <f ca="1">IFERROR(__xludf.DUMMYFUNCTION("""COMPUTED_VALUE"""),10080060)</f>
        <v>10080060</v>
      </c>
      <c r="G988" s="77" t="str">
        <f t="shared" ca="1" si="3"/>
        <v>si</v>
      </c>
    </row>
    <row r="989" spans="1:7" ht="12.75" x14ac:dyDescent="0.2">
      <c r="A989" s="62">
        <f ca="1">IFERROR(__xludf.DUMMYFUNCTION("""COMPUTED_VALUE"""),10080031)</f>
        <v>10080031</v>
      </c>
      <c r="B989" s="62" t="str">
        <f ca="1">IFERROR(__xludf.DUMMYFUNCTION("""COMPUTED_VALUE"""),"HDTV Cable (Para Iphone y TV)")</f>
        <v>HDTV Cable (Para Iphone y TV)</v>
      </c>
      <c r="C989" s="75">
        <f ca="1">IFERROR(__xludf.DUMMYFUNCTION("""COMPUTED_VALUE"""),40)</f>
        <v>40</v>
      </c>
      <c r="D989" s="75">
        <f ca="1">IFERROR(__xludf.DUMMYFUNCTION("""COMPUTED_VALUE"""),0)</f>
        <v>0</v>
      </c>
      <c r="E989" s="76">
        <f ca="1">IFERROR(__xludf.DUMMYFUNCTION("""COMPUTED_VALUE"""),40)</f>
        <v>40</v>
      </c>
      <c r="F989" s="77">
        <f ca="1">IFERROR(__xludf.DUMMYFUNCTION("""COMPUTED_VALUE"""),10080031)</f>
        <v>10080031</v>
      </c>
      <c r="G989" s="77" t="str">
        <f t="shared" ca="1" si="3"/>
        <v>si</v>
      </c>
    </row>
    <row r="990" spans="1:7" ht="12.75" x14ac:dyDescent="0.2">
      <c r="A990" s="62">
        <f ca="1">IFERROR(__xludf.DUMMYFUNCTION("""COMPUTED_VALUE"""),20130003)</f>
        <v>20130003</v>
      </c>
      <c r="B990" s="62" t="str">
        <f ca="1">IFERROR(__xludf.DUMMYFUNCTION("""COMPUTED_VALUE"""),"Aluminum laptop stand (Base para Aluminio IPAD / Laptop)")</f>
        <v>Aluminum laptop stand (Base para Aluminio IPAD / Laptop)</v>
      </c>
      <c r="C990" s="75">
        <f ca="1">IFERROR(__xludf.DUMMYFUNCTION("""COMPUTED_VALUE"""),50)</f>
        <v>50</v>
      </c>
      <c r="D990" s="75">
        <f ca="1">IFERROR(__xludf.DUMMYFUNCTION("""COMPUTED_VALUE"""),0)</f>
        <v>0</v>
      </c>
      <c r="E990" s="76">
        <f ca="1">IFERROR(__xludf.DUMMYFUNCTION("""COMPUTED_VALUE"""),50)</f>
        <v>50</v>
      </c>
      <c r="F990" s="77">
        <f ca="1">IFERROR(__xludf.DUMMYFUNCTION("""COMPUTED_VALUE"""),20130003)</f>
        <v>20130003</v>
      </c>
      <c r="G990" s="77" t="str">
        <f t="shared" ca="1" si="3"/>
        <v>si</v>
      </c>
    </row>
    <row r="991" spans="1:7" ht="12.75" x14ac:dyDescent="0.2">
      <c r="A991" s="62">
        <f ca="1">IFERROR(__xludf.DUMMYFUNCTION("""COMPUTED_VALUE"""),10080051)</f>
        <v>10080051</v>
      </c>
      <c r="B991" s="62" t="str">
        <f ca="1">IFERROR(__xludf.DUMMYFUNCTION("""COMPUTED_VALUE"""),"Type-C 5 in 1 ")</f>
        <v xml:space="preserve">Type-C 5 in 1 </v>
      </c>
      <c r="C991" s="75">
        <f ca="1">IFERROR(__xludf.DUMMYFUNCTION("""COMPUTED_VALUE"""),80)</f>
        <v>80</v>
      </c>
      <c r="D991" s="75">
        <f ca="1">IFERROR(__xludf.DUMMYFUNCTION("""COMPUTED_VALUE"""),0)</f>
        <v>0</v>
      </c>
      <c r="E991" s="76">
        <f ca="1">IFERROR(__xludf.DUMMYFUNCTION("""COMPUTED_VALUE"""),80)</f>
        <v>80</v>
      </c>
      <c r="F991" s="77">
        <f ca="1">IFERROR(__xludf.DUMMYFUNCTION("""COMPUTED_VALUE"""),10080051)</f>
        <v>10080051</v>
      </c>
      <c r="G991" s="77" t="str">
        <f t="shared" ca="1" si="3"/>
        <v>si</v>
      </c>
    </row>
    <row r="992" spans="1:7" ht="12.75" x14ac:dyDescent="0.2">
      <c r="A992" s="62">
        <f ca="1">IFERROR(__xludf.DUMMYFUNCTION("""COMPUTED_VALUE"""),10050002)</f>
        <v>10050002</v>
      </c>
      <c r="B992" s="62" t="str">
        <f ca="1">IFERROR(__xludf.DUMMYFUNCTION("""COMPUTED_VALUE"""),"6Gbps speed with TypeC 3.1 (case para m2)60355")</f>
        <v>6Gbps speed with TypeC 3.1 (case para m2)60355</v>
      </c>
      <c r="C992" s="75">
        <f ca="1">IFERROR(__xludf.DUMMYFUNCTION("""COMPUTED_VALUE"""),120)</f>
        <v>120</v>
      </c>
      <c r="D992" s="75">
        <f ca="1">IFERROR(__xludf.DUMMYFUNCTION("""COMPUTED_VALUE"""),0)</f>
        <v>0</v>
      </c>
      <c r="E992" s="76">
        <f ca="1">IFERROR(__xludf.DUMMYFUNCTION("""COMPUTED_VALUE"""),120)</f>
        <v>120</v>
      </c>
      <c r="F992" s="77">
        <f ca="1">IFERROR(__xludf.DUMMYFUNCTION("""COMPUTED_VALUE"""),10050002)</f>
        <v>10050002</v>
      </c>
      <c r="G992" s="77" t="str">
        <f t="shared" ca="1" si="3"/>
        <v>si</v>
      </c>
    </row>
    <row r="993" spans="1:7" ht="12.75" x14ac:dyDescent="0.2">
      <c r="A993" s="62">
        <f ca="1">IFERROR(__xludf.DUMMYFUNCTION("""COMPUTED_VALUE"""),10050001)</f>
        <v>10050001</v>
      </c>
      <c r="B993" s="62" t="str">
        <f ca="1">IFERROR(__xludf.DUMMYFUNCTION("""COMPUTED_VALUE"""),"10Gbps speed with TypeC 3.1 (case para m2) 60354")</f>
        <v>10Gbps speed with TypeC 3.1 (case para m2) 60354</v>
      </c>
      <c r="C993" s="75">
        <f ca="1">IFERROR(__xludf.DUMMYFUNCTION("""COMPUTED_VALUE"""),200)</f>
        <v>200</v>
      </c>
      <c r="D993" s="75">
        <f ca="1">IFERROR(__xludf.DUMMYFUNCTION("""COMPUTED_VALUE"""),0)</f>
        <v>0</v>
      </c>
      <c r="E993" s="76">
        <f ca="1">IFERROR(__xludf.DUMMYFUNCTION("""COMPUTED_VALUE"""),200)</f>
        <v>200</v>
      </c>
      <c r="F993" s="77">
        <f ca="1">IFERROR(__xludf.DUMMYFUNCTION("""COMPUTED_VALUE"""),10050001)</f>
        <v>10050001</v>
      </c>
      <c r="G993" s="77" t="str">
        <f t="shared" ca="1" si="3"/>
        <v>si</v>
      </c>
    </row>
    <row r="994" spans="1:7" ht="12.75" x14ac:dyDescent="0.2">
      <c r="A994" s="62">
        <f ca="1">IFERROR(__xludf.DUMMYFUNCTION("""COMPUTED_VALUE"""),10080003)</f>
        <v>10080003</v>
      </c>
      <c r="B994" s="62" t="str">
        <f ca="1">IFERROR(__xludf.DUMMYFUNCTION("""COMPUTED_VALUE"""),"4 in 1 OTG Conector Iphone (Adaptador para Iphone o IPAD)")</f>
        <v>4 in 1 OTG Conector Iphone (Adaptador para Iphone o IPAD)</v>
      </c>
      <c r="C994" s="75">
        <f ca="1">IFERROR(__xludf.DUMMYFUNCTION("""COMPUTED_VALUE"""),40)</f>
        <v>40</v>
      </c>
      <c r="D994" s="75">
        <f ca="1">IFERROR(__xludf.DUMMYFUNCTION("""COMPUTED_VALUE"""),0)</f>
        <v>0</v>
      </c>
      <c r="E994" s="76">
        <f ca="1">IFERROR(__xludf.DUMMYFUNCTION("""COMPUTED_VALUE"""),40)</f>
        <v>40</v>
      </c>
      <c r="F994" s="77">
        <f ca="1">IFERROR(__xludf.DUMMYFUNCTION("""COMPUTED_VALUE"""),10080003)</f>
        <v>10080003</v>
      </c>
      <c r="G994" s="77" t="str">
        <f t="shared" ca="1" si="3"/>
        <v>si</v>
      </c>
    </row>
    <row r="995" spans="1:7" ht="12.75" x14ac:dyDescent="0.2">
      <c r="A995" s="62">
        <f ca="1">IFERROR(__xludf.DUMMYFUNCTION("""COMPUTED_VALUE"""),10080035)</f>
        <v>10080035</v>
      </c>
      <c r="B995" s="62" t="str">
        <f ca="1">IFERROR(__xludf.DUMMYFUNCTION("""COMPUTED_VALUE"""),"Lightning to HDMI Digital AV Adapter 1080P (adaptador Iphone / Ipad)")</f>
        <v>Lightning to HDMI Digital AV Adapter 1080P (adaptador Iphone / Ipad)</v>
      </c>
      <c r="C995" s="75">
        <f ca="1">IFERROR(__xludf.DUMMYFUNCTION("""COMPUTED_VALUE"""),40)</f>
        <v>40</v>
      </c>
      <c r="D995" s="75">
        <f ca="1">IFERROR(__xludf.DUMMYFUNCTION("""COMPUTED_VALUE"""),0)</f>
        <v>0</v>
      </c>
      <c r="E995" s="76">
        <f ca="1">IFERROR(__xludf.DUMMYFUNCTION("""COMPUTED_VALUE"""),40)</f>
        <v>40</v>
      </c>
      <c r="F995" s="77">
        <f ca="1">IFERROR(__xludf.DUMMYFUNCTION("""COMPUTED_VALUE"""),10080035)</f>
        <v>10080035</v>
      </c>
      <c r="G995" s="77" t="str">
        <f t="shared" ca="1" si="3"/>
        <v>si</v>
      </c>
    </row>
    <row r="996" spans="1:7" ht="12.75" x14ac:dyDescent="0.2">
      <c r="A996" s="62">
        <f ca="1">IFERROR(__xludf.DUMMYFUNCTION("""COMPUTED_VALUE"""),10080056)</f>
        <v>10080056</v>
      </c>
      <c r="B996" s="62" t="str">
        <f ca="1">IFERROR(__xludf.DUMMYFUNCTION("""COMPUTED_VALUE"""),"USB Charguer CD-A10 (Toma corriente USB)")</f>
        <v>USB Charguer CD-A10 (Toma corriente USB)</v>
      </c>
      <c r="C996" s="75">
        <f ca="1">IFERROR(__xludf.DUMMYFUNCTION("""COMPUTED_VALUE"""),90)</f>
        <v>90</v>
      </c>
      <c r="D996" s="75">
        <f ca="1">IFERROR(__xludf.DUMMYFUNCTION("""COMPUTED_VALUE"""),0)</f>
        <v>0</v>
      </c>
      <c r="E996" s="76">
        <f ca="1">IFERROR(__xludf.DUMMYFUNCTION("""COMPUTED_VALUE"""),90)</f>
        <v>90</v>
      </c>
      <c r="F996" s="77">
        <f ca="1">IFERROR(__xludf.DUMMYFUNCTION("""COMPUTED_VALUE"""),10080056)</f>
        <v>10080056</v>
      </c>
      <c r="G996" s="77" t="str">
        <f t="shared" ca="1" si="3"/>
        <v>si</v>
      </c>
    </row>
    <row r="997" spans="1:7" ht="12.75" x14ac:dyDescent="0.2">
      <c r="A997" s="62">
        <f ca="1">IFERROR(__xludf.DUMMYFUNCTION("""COMPUTED_VALUE"""),10030001)</f>
        <v>10030001</v>
      </c>
      <c r="B997" s="62" t="str">
        <f ca="1">IFERROR(__xludf.DUMMYFUNCTION("""COMPUTED_VALUE"""),"3 in 1 wireless charger (Cargador para Celular, Airpods y Watch)")</f>
        <v>3 in 1 wireless charger (Cargador para Celular, Airpods y Watch)</v>
      </c>
      <c r="C997" s="75">
        <f ca="1">IFERROR(__xludf.DUMMYFUNCTION("""COMPUTED_VALUE"""),60)</f>
        <v>60</v>
      </c>
      <c r="D997" s="75">
        <f ca="1">IFERROR(__xludf.DUMMYFUNCTION("""COMPUTED_VALUE"""),0)</f>
        <v>0</v>
      </c>
      <c r="E997" s="76">
        <f ca="1">IFERROR(__xludf.DUMMYFUNCTION("""COMPUTED_VALUE"""),60)</f>
        <v>60</v>
      </c>
      <c r="F997" s="77">
        <f ca="1">IFERROR(__xludf.DUMMYFUNCTION("""COMPUTED_VALUE"""),10030001)</f>
        <v>10030001</v>
      </c>
      <c r="G997" s="77" t="str">
        <f t="shared" ca="1" si="3"/>
        <v>si</v>
      </c>
    </row>
    <row r="998" spans="1:7" ht="12.75" x14ac:dyDescent="0.2">
      <c r="A998" s="62">
        <f ca="1">IFERROR(__xludf.DUMMYFUNCTION("""COMPUTED_VALUE"""),20200003)</f>
        <v>20200003</v>
      </c>
      <c r="B998" s="62" t="str">
        <f ca="1">IFERROR(__xludf.DUMMYFUNCTION("""COMPUTED_VALUE"""),"M990 Wired laser gaming mouse (Mouse Gamer Caja)")</f>
        <v>M990 Wired laser gaming mouse (Mouse Gamer Caja)</v>
      </c>
      <c r="C998" s="75">
        <f ca="1">IFERROR(__xludf.DUMMYFUNCTION("""COMPUTED_VALUE"""),160)</f>
        <v>160</v>
      </c>
      <c r="D998" s="75">
        <f ca="1">IFERROR(__xludf.DUMMYFUNCTION("""COMPUTED_VALUE"""),0)</f>
        <v>0</v>
      </c>
      <c r="E998" s="76">
        <f ca="1">IFERROR(__xludf.DUMMYFUNCTION("""COMPUTED_VALUE"""),160)</f>
        <v>160</v>
      </c>
      <c r="F998" s="77">
        <f ca="1">IFERROR(__xludf.DUMMYFUNCTION("""COMPUTED_VALUE"""),20200003)</f>
        <v>20200003</v>
      </c>
      <c r="G998" s="77" t="str">
        <f t="shared" ca="1" si="3"/>
        <v>si</v>
      </c>
    </row>
    <row r="999" spans="1:7" ht="12.75" x14ac:dyDescent="0.2">
      <c r="A999" s="62">
        <f ca="1">IFERROR(__xludf.DUMMYFUNCTION("""COMPUTED_VALUE"""),20200001)</f>
        <v>20200001</v>
      </c>
      <c r="B999" s="62" t="str">
        <f ca="1">IFERROR(__xludf.DUMMYFUNCTION("""COMPUTED_VALUE"""),"A867 RGB Wired laser  (Mouse Gamer Cable economico)")</f>
        <v>A867 RGB Wired laser  (Mouse Gamer Cable economico)</v>
      </c>
      <c r="C999" s="75">
        <f ca="1">IFERROR(__xludf.DUMMYFUNCTION("""COMPUTED_VALUE"""),30)</f>
        <v>30</v>
      </c>
      <c r="D999" s="75">
        <f ca="1">IFERROR(__xludf.DUMMYFUNCTION("""COMPUTED_VALUE"""),0)</f>
        <v>0</v>
      </c>
      <c r="E999" s="76">
        <f ca="1">IFERROR(__xludf.DUMMYFUNCTION("""COMPUTED_VALUE"""),30)</f>
        <v>30</v>
      </c>
      <c r="F999" s="77">
        <f ca="1">IFERROR(__xludf.DUMMYFUNCTION("""COMPUTED_VALUE"""),20200001)</f>
        <v>20200001</v>
      </c>
      <c r="G999" s="77" t="str">
        <f t="shared" ca="1" si="3"/>
        <v>si</v>
      </c>
    </row>
    <row r="1000" spans="1:7" ht="12.75" x14ac:dyDescent="0.2">
      <c r="A1000" s="62">
        <f ca="1">IFERROR(__xludf.DUMMYFUNCTION("""COMPUTED_VALUE"""),20130022)</f>
        <v>20130022</v>
      </c>
      <c r="B1000" s="62" t="str">
        <f ca="1">IFERROR(__xludf.DUMMYFUNCTION("""COMPUTED_VALUE"""),"SM-008 Desktop computer microphone (Microfono externo)")</f>
        <v>SM-008 Desktop computer microphone (Microfono externo)</v>
      </c>
      <c r="C1000" s="75">
        <f ca="1">IFERROR(__xludf.DUMMYFUNCTION("""COMPUTED_VALUE"""),30)</f>
        <v>30</v>
      </c>
      <c r="D1000" s="75">
        <f ca="1">IFERROR(__xludf.DUMMYFUNCTION("""COMPUTED_VALUE"""),0)</f>
        <v>0</v>
      </c>
      <c r="E1000" s="76">
        <f ca="1">IFERROR(__xludf.DUMMYFUNCTION("""COMPUTED_VALUE"""),30)</f>
        <v>30</v>
      </c>
      <c r="F1000" s="77">
        <f ca="1">IFERROR(__xludf.DUMMYFUNCTION("""COMPUTED_VALUE"""),20130022)</f>
        <v>20130022</v>
      </c>
      <c r="G1000" s="77" t="str">
        <f t="shared" ca="1" si="3"/>
        <v>si</v>
      </c>
    </row>
    <row r="1001" spans="1:7" ht="12.75" x14ac:dyDescent="0.2">
      <c r="A1001" s="62">
        <f ca="1">IFERROR(__xludf.DUMMYFUNCTION("""COMPUTED_VALUE"""),20080001)</f>
        <v>20080001</v>
      </c>
      <c r="B1001" s="62" t="str">
        <f ca="1">IFERROR(__xludf.DUMMYFUNCTION("""COMPUTED_VALUE"""),"Teclado GTX300")</f>
        <v>Teclado GTX300</v>
      </c>
      <c r="C1001" s="75">
        <f ca="1">IFERROR(__xludf.DUMMYFUNCTION("""COMPUTED_VALUE"""),40)</f>
        <v>40</v>
      </c>
      <c r="D1001" s="75">
        <f ca="1">IFERROR(__xludf.DUMMYFUNCTION("""COMPUTED_VALUE"""),0)</f>
        <v>0</v>
      </c>
      <c r="E1001" s="76">
        <f ca="1">IFERROR(__xludf.DUMMYFUNCTION("""COMPUTED_VALUE"""),40)</f>
        <v>40</v>
      </c>
      <c r="F1001" s="77">
        <f ca="1">IFERROR(__xludf.DUMMYFUNCTION("""COMPUTED_VALUE"""),20080001)</f>
        <v>20080001</v>
      </c>
      <c r="G1001" s="77" t="str">
        <f t="shared" ca="1" si="3"/>
        <v>si</v>
      </c>
    </row>
    <row r="1002" spans="1:7" ht="12.75" x14ac:dyDescent="0.2">
      <c r="A1002" s="62">
        <f ca="1">IFERROR(__xludf.DUMMYFUNCTION("""COMPUTED_VALUE"""),20130017)</f>
        <v>20130017</v>
      </c>
      <c r="B1002" s="62" t="str">
        <f ca="1">IFERROR(__xludf.DUMMYFUNCTION("""COMPUTED_VALUE"""),"Mouse Pad Colores GMs-WT-5 ")</f>
        <v xml:space="preserve">Mouse Pad Colores GMs-WT-5 </v>
      </c>
      <c r="C1002" s="75">
        <f ca="1">IFERROR(__xludf.DUMMYFUNCTION("""COMPUTED_VALUE"""),30)</f>
        <v>30</v>
      </c>
      <c r="D1002" s="75">
        <f ca="1">IFERROR(__xludf.DUMMYFUNCTION("""COMPUTED_VALUE"""),0)</f>
        <v>0</v>
      </c>
      <c r="E1002" s="76">
        <f ca="1">IFERROR(__xludf.DUMMYFUNCTION("""COMPUTED_VALUE"""),30)</f>
        <v>30</v>
      </c>
      <c r="F1002" s="77">
        <f ca="1">IFERROR(__xludf.DUMMYFUNCTION("""COMPUTED_VALUE"""),20130017)</f>
        <v>20130017</v>
      </c>
      <c r="G1002" s="77" t="str">
        <f t="shared" ca="1" si="3"/>
        <v>si</v>
      </c>
    </row>
    <row r="1003" spans="1:7" ht="12.75" x14ac:dyDescent="0.2">
      <c r="A1003" s="62">
        <f ca="1">IFERROR(__xludf.DUMMYFUNCTION("""COMPUTED_VALUE"""),20130028)</f>
        <v>20130028</v>
      </c>
      <c r="B1003" s="62" t="str">
        <f ca="1">IFERROR(__xludf.DUMMYFUNCTION("""COMPUTED_VALUE"""),"Hub 12 en 1 Tipo C ")</f>
        <v xml:space="preserve">Hub 12 en 1 Tipo C </v>
      </c>
      <c r="C1003" s="75">
        <f ca="1">IFERROR(__xludf.DUMMYFUNCTION("""COMPUTED_VALUE"""),250)</f>
        <v>250</v>
      </c>
      <c r="D1003" s="75">
        <f ca="1">IFERROR(__xludf.DUMMYFUNCTION("""COMPUTED_VALUE"""),0)</f>
        <v>0</v>
      </c>
      <c r="E1003" s="76">
        <f ca="1">IFERROR(__xludf.DUMMYFUNCTION("""COMPUTED_VALUE"""),250)</f>
        <v>250</v>
      </c>
      <c r="F1003" s="77">
        <f ca="1">IFERROR(__xludf.DUMMYFUNCTION("""COMPUTED_VALUE"""),20130028)</f>
        <v>20130028</v>
      </c>
      <c r="G1003" s="77" t="str">
        <f t="shared" ca="1" si="3"/>
        <v>si</v>
      </c>
    </row>
    <row r="1004" spans="1:7" ht="12.75" x14ac:dyDescent="0.2">
      <c r="A1004" s="62">
        <f ca="1">IFERROR(__xludf.DUMMYFUNCTION("""COMPUTED_VALUE"""),10080025)</f>
        <v>10080025</v>
      </c>
      <c r="B1004" s="62" t="str">
        <f ca="1">IFERROR(__xludf.DUMMYFUNCTION("""COMPUTED_VALUE"""),"Case + Teclado Ipad ")</f>
        <v xml:space="preserve">Case + Teclado Ipad </v>
      </c>
      <c r="C1004" s="75">
        <f ca="1">IFERROR(__xludf.DUMMYFUNCTION("""COMPUTED_VALUE"""),60)</f>
        <v>60</v>
      </c>
      <c r="D1004" s="75">
        <f ca="1">IFERROR(__xludf.DUMMYFUNCTION("""COMPUTED_VALUE"""),0)</f>
        <v>0</v>
      </c>
      <c r="E1004" s="76">
        <f ca="1">IFERROR(__xludf.DUMMYFUNCTION("""COMPUTED_VALUE"""),60)</f>
        <v>60</v>
      </c>
      <c r="F1004" s="77">
        <f ca="1">IFERROR(__xludf.DUMMYFUNCTION("""COMPUTED_VALUE"""),10080025)</f>
        <v>10080025</v>
      </c>
      <c r="G1004" s="77" t="str">
        <f t="shared" ca="1" si="3"/>
        <v>si</v>
      </c>
    </row>
    <row r="1005" spans="1:7" ht="12.75" x14ac:dyDescent="0.2">
      <c r="A1005" s="62">
        <f ca="1">IFERROR(__xludf.DUMMYFUNCTION("""COMPUTED_VALUE"""),10110022)</f>
        <v>10110022</v>
      </c>
      <c r="B1005" s="62" t="str">
        <f ca="1">IFERROR(__xludf.DUMMYFUNCTION("""COMPUTED_VALUE"""),"Reloj Smartwacht ")</f>
        <v xml:space="preserve">Reloj Smartwacht </v>
      </c>
      <c r="C1005" s="75">
        <f ca="1">IFERROR(__xludf.DUMMYFUNCTION("""COMPUTED_VALUE"""),90)</f>
        <v>90</v>
      </c>
      <c r="D1005" s="75">
        <f ca="1">IFERROR(__xludf.DUMMYFUNCTION("""COMPUTED_VALUE"""),0)</f>
        <v>0</v>
      </c>
      <c r="E1005" s="76">
        <f ca="1">IFERROR(__xludf.DUMMYFUNCTION("""COMPUTED_VALUE"""),90)</f>
        <v>90</v>
      </c>
      <c r="F1005" s="77">
        <f ca="1">IFERROR(__xludf.DUMMYFUNCTION("""COMPUTED_VALUE"""),10110022)</f>
        <v>10110022</v>
      </c>
      <c r="G1005" s="77" t="str">
        <f t="shared" ca="1" si="3"/>
        <v>si</v>
      </c>
    </row>
    <row r="1006" spans="1:7" ht="12.75" x14ac:dyDescent="0.2">
      <c r="A1006" s="62">
        <f ca="1">IFERROR(__xludf.DUMMYFUNCTION("""COMPUTED_VALUE"""),20130019)</f>
        <v>20130019</v>
      </c>
      <c r="B1006" s="62" t="str">
        <f ca="1">IFERROR(__xludf.DUMMYFUNCTION("""COMPUTED_VALUE"""),"Notebook Cooling PAD")</f>
        <v>Notebook Cooling PAD</v>
      </c>
      <c r="C1006" s="75">
        <f ca="1">IFERROR(__xludf.DUMMYFUNCTION("""COMPUTED_VALUE"""),30)</f>
        <v>30</v>
      </c>
      <c r="D1006" s="75">
        <f ca="1">IFERROR(__xludf.DUMMYFUNCTION("""COMPUTED_VALUE"""),0)</f>
        <v>0</v>
      </c>
      <c r="E1006" s="76">
        <f ca="1">IFERROR(__xludf.DUMMYFUNCTION("""COMPUTED_VALUE"""),30)</f>
        <v>30</v>
      </c>
      <c r="F1006" s="77">
        <f ca="1">IFERROR(__xludf.DUMMYFUNCTION("""COMPUTED_VALUE"""),20130019)</f>
        <v>20130019</v>
      </c>
      <c r="G1006" s="77" t="str">
        <f t="shared" ca="1" si="3"/>
        <v>si</v>
      </c>
    </row>
    <row r="1007" spans="1:7" ht="12.75" x14ac:dyDescent="0.2">
      <c r="A1007" s="62">
        <f ca="1">IFERROR(__xludf.DUMMYFUNCTION("""COMPUTED_VALUE"""),20200005)</f>
        <v>20200005</v>
      </c>
      <c r="B1007" s="62" t="str">
        <f ca="1">IFERROR(__xludf.DUMMYFUNCTION("""COMPUTED_VALUE"""),"Mouse inalambrico gamer (Gamer mouse inalambrico)")</f>
        <v>Mouse inalambrico gamer (Gamer mouse inalambrico)</v>
      </c>
      <c r="C1007" s="75">
        <f ca="1">IFERROR(__xludf.DUMMYFUNCTION("""COMPUTED_VALUE"""),20)</f>
        <v>20</v>
      </c>
      <c r="D1007" s="75">
        <f ca="1">IFERROR(__xludf.DUMMYFUNCTION("""COMPUTED_VALUE"""),0)</f>
        <v>0</v>
      </c>
      <c r="E1007" s="76">
        <f ca="1">IFERROR(__xludf.DUMMYFUNCTION("""COMPUTED_VALUE"""),20)</f>
        <v>20</v>
      </c>
      <c r="F1007" s="77">
        <f ca="1">IFERROR(__xludf.DUMMYFUNCTION("""COMPUTED_VALUE"""),20200005)</f>
        <v>20200005</v>
      </c>
      <c r="G1007" s="77" t="str">
        <f t="shared" ca="1" si="3"/>
        <v>si</v>
      </c>
    </row>
    <row r="1008" spans="1:7" ht="12.75" x14ac:dyDescent="0.2">
      <c r="A1008" s="62">
        <f ca="1">IFERROR(__xludf.DUMMYFUNCTION("""COMPUTED_VALUE"""),20200004)</f>
        <v>20200004</v>
      </c>
      <c r="B1008" s="62" t="str">
        <f ca="1">IFERROR(__xludf.DUMMYFUNCTION("""COMPUTED_VALUE"""),"Mouse cable Basico (mouse cable)")</f>
        <v>Mouse cable Basico (mouse cable)</v>
      </c>
      <c r="C1008" s="75">
        <f ca="1">IFERROR(__xludf.DUMMYFUNCTION("""COMPUTED_VALUE"""),5)</f>
        <v>5</v>
      </c>
      <c r="D1008" s="75">
        <f ca="1">IFERROR(__xludf.DUMMYFUNCTION("""COMPUTED_VALUE"""),0)</f>
        <v>0</v>
      </c>
      <c r="E1008" s="76">
        <f ca="1">IFERROR(__xludf.DUMMYFUNCTION("""COMPUTED_VALUE"""),5)</f>
        <v>5</v>
      </c>
      <c r="F1008" s="77">
        <f ca="1">IFERROR(__xludf.DUMMYFUNCTION("""COMPUTED_VALUE"""),20200004)</f>
        <v>20200004</v>
      </c>
      <c r="G1008" s="77" t="str">
        <f t="shared" ca="1" si="3"/>
        <v>si</v>
      </c>
    </row>
    <row r="1009" spans="1:7" ht="12.75" x14ac:dyDescent="0.2">
      <c r="A1009" s="62">
        <f ca="1">IFERROR(__xludf.DUMMYFUNCTION("""COMPUTED_VALUE"""),10080053)</f>
        <v>10080053</v>
      </c>
      <c r="B1009" s="62" t="str">
        <f ca="1">IFERROR(__xludf.DUMMYFUNCTION("""COMPUTED_VALUE"""),"USB 2.0 Hub 7 conectores")</f>
        <v>USB 2.0 Hub 7 conectores</v>
      </c>
      <c r="C1009" s="75">
        <f ca="1">IFERROR(__xludf.DUMMYFUNCTION("""COMPUTED_VALUE"""),5)</f>
        <v>5</v>
      </c>
      <c r="D1009" s="75">
        <f ca="1">IFERROR(__xludf.DUMMYFUNCTION("""COMPUTED_VALUE"""),0)</f>
        <v>0</v>
      </c>
      <c r="E1009" s="76">
        <f ca="1">IFERROR(__xludf.DUMMYFUNCTION("""COMPUTED_VALUE"""),5)</f>
        <v>5</v>
      </c>
      <c r="F1009" s="77">
        <f ca="1">IFERROR(__xludf.DUMMYFUNCTION("""COMPUTED_VALUE"""),10080053)</f>
        <v>10080053</v>
      </c>
      <c r="G1009" s="77" t="str">
        <f t="shared" ca="1" si="3"/>
        <v>si</v>
      </c>
    </row>
    <row r="1010" spans="1:7" ht="12.75" x14ac:dyDescent="0.2">
      <c r="A1010" s="62">
        <f ca="1">IFERROR(__xludf.DUMMYFUNCTION("""COMPUTED_VALUE"""),10080303)</f>
        <v>10080303</v>
      </c>
      <c r="B1010" s="62" t="str">
        <f ca="1">IFERROR(__xludf.DUMMYFUNCTION("""COMPUTED_VALUE"""),"Cargadores Samsung Cubo + Cable Original  25W")</f>
        <v>Cargadores Samsung Cubo + Cable Original  25W</v>
      </c>
      <c r="C1010" s="75">
        <f ca="1">IFERROR(__xludf.DUMMYFUNCTION("""COMPUTED_VALUE"""),140)</f>
        <v>140</v>
      </c>
      <c r="D1010" s="75">
        <f ca="1">IFERROR(__xludf.DUMMYFUNCTION("""COMPUTED_VALUE"""),0)</f>
        <v>0</v>
      </c>
      <c r="E1010" s="76">
        <f ca="1">IFERROR(__xludf.DUMMYFUNCTION("""COMPUTED_VALUE"""),140)</f>
        <v>140</v>
      </c>
      <c r="F1010" s="77">
        <f ca="1">IFERROR(__xludf.DUMMYFUNCTION("""COMPUTED_VALUE"""),10080303)</f>
        <v>10080303</v>
      </c>
      <c r="G1010" s="77" t="str">
        <f t="shared" ca="1" si="3"/>
        <v>si</v>
      </c>
    </row>
    <row r="1011" spans="1:7" ht="12.75" x14ac:dyDescent="0.2">
      <c r="A1011" s="62">
        <f ca="1">IFERROR(__xludf.DUMMYFUNCTION("""COMPUTED_VALUE"""),10080302)</f>
        <v>10080302</v>
      </c>
      <c r="B1011" s="62" t="str">
        <f ca="1">IFERROR(__xludf.DUMMYFUNCTION("""COMPUTED_VALUE"""),"Audifonos Samsung Tipo C Original")</f>
        <v>Audifonos Samsung Tipo C Original</v>
      </c>
      <c r="C1011" s="75">
        <f ca="1">IFERROR(__xludf.DUMMYFUNCTION("""COMPUTED_VALUE"""),60)</f>
        <v>60</v>
      </c>
      <c r="D1011" s="75">
        <f ca="1">IFERROR(__xludf.DUMMYFUNCTION("""COMPUTED_VALUE"""),0)</f>
        <v>0</v>
      </c>
      <c r="E1011" s="76">
        <f ca="1">IFERROR(__xludf.DUMMYFUNCTION("""COMPUTED_VALUE"""),60)</f>
        <v>60</v>
      </c>
      <c r="F1011" s="77">
        <f ca="1">IFERROR(__xludf.DUMMYFUNCTION("""COMPUTED_VALUE"""),10080302)</f>
        <v>10080302</v>
      </c>
      <c r="G1011" s="77" t="str">
        <f t="shared" ca="1" si="3"/>
        <v>si</v>
      </c>
    </row>
    <row r="1012" spans="1:7" ht="12.75" x14ac:dyDescent="0.2">
      <c r="A1012" s="62">
        <f ca="1">IFERROR(__xludf.DUMMYFUNCTION("""COMPUTED_VALUE"""),20130015)</f>
        <v>20130015</v>
      </c>
      <c r="B1012" s="62" t="str">
        <f ca="1">IFERROR(__xludf.DUMMYFUNCTION("""COMPUTED_VALUE"""),"Mochila Laptop")</f>
        <v>Mochila Laptop</v>
      </c>
      <c r="C1012" s="75">
        <f ca="1">IFERROR(__xludf.DUMMYFUNCTION("""COMPUTED_VALUE"""),45)</f>
        <v>45</v>
      </c>
      <c r="D1012" s="75">
        <f ca="1">IFERROR(__xludf.DUMMYFUNCTION("""COMPUTED_VALUE"""),0)</f>
        <v>0</v>
      </c>
      <c r="E1012" s="76">
        <f ca="1">IFERROR(__xludf.DUMMYFUNCTION("""COMPUTED_VALUE"""),45)</f>
        <v>45</v>
      </c>
      <c r="F1012" s="77">
        <f ca="1">IFERROR(__xludf.DUMMYFUNCTION("""COMPUTED_VALUE"""),20130015)</f>
        <v>20130015</v>
      </c>
      <c r="G1012" s="77" t="str">
        <f t="shared" ca="1" si="3"/>
        <v>si</v>
      </c>
    </row>
    <row r="1013" spans="1:7" ht="12.75" x14ac:dyDescent="0.2">
      <c r="A1013" s="62">
        <f ca="1">IFERROR(__xludf.DUMMYFUNCTION("""COMPUTED_VALUE"""),20130008)</f>
        <v>20130008</v>
      </c>
      <c r="B1013" s="62" t="str">
        <f ca="1">IFERROR(__xludf.DUMMYFUNCTION("""COMPUTED_VALUE"""),"Camara Web 1080 ")</f>
        <v xml:space="preserve">Camara Web 1080 </v>
      </c>
      <c r="C1013" s="75">
        <f ca="1">IFERROR(__xludf.DUMMYFUNCTION("""COMPUTED_VALUE"""),50)</f>
        <v>50</v>
      </c>
      <c r="D1013" s="75">
        <f ca="1">IFERROR(__xludf.DUMMYFUNCTION("""COMPUTED_VALUE"""),0)</f>
        <v>0</v>
      </c>
      <c r="E1013" s="76">
        <f ca="1">IFERROR(__xludf.DUMMYFUNCTION("""COMPUTED_VALUE"""),50)</f>
        <v>50</v>
      </c>
      <c r="F1013" s="77">
        <f ca="1">IFERROR(__xludf.DUMMYFUNCTION("""COMPUTED_VALUE"""),20130008)</f>
        <v>20130008</v>
      </c>
      <c r="G1013" s="77" t="str">
        <f t="shared" ca="1" si="3"/>
        <v>si</v>
      </c>
    </row>
    <row r="1014" spans="1:7" ht="12.75" x14ac:dyDescent="0.2">
      <c r="A1014" s="62">
        <f ca="1">IFERROR(__xludf.DUMMYFUNCTION("""COMPUTED_VALUE"""),10080011)</f>
        <v>10080011</v>
      </c>
      <c r="B1014" s="62" t="str">
        <f ca="1">IFERROR(__xludf.DUMMYFUNCTION("""COMPUTED_VALUE"""),"Adaptador Iphone a USB")</f>
        <v>Adaptador Iphone a USB</v>
      </c>
      <c r="C1014" s="75">
        <f ca="1">IFERROR(__xludf.DUMMYFUNCTION("""COMPUTED_VALUE"""),20)</f>
        <v>20</v>
      </c>
      <c r="D1014" s="75">
        <f ca="1">IFERROR(__xludf.DUMMYFUNCTION("""COMPUTED_VALUE"""),0)</f>
        <v>0</v>
      </c>
      <c r="E1014" s="76">
        <f ca="1">IFERROR(__xludf.DUMMYFUNCTION("""COMPUTED_VALUE"""),20)</f>
        <v>20</v>
      </c>
      <c r="F1014" s="77">
        <f ca="1">IFERROR(__xludf.DUMMYFUNCTION("""COMPUTED_VALUE"""),10080011)</f>
        <v>10080011</v>
      </c>
      <c r="G1014" s="77" t="str">
        <f t="shared" ca="1" si="3"/>
        <v>si</v>
      </c>
    </row>
    <row r="1015" spans="1:7" ht="12.75" x14ac:dyDescent="0.2">
      <c r="A1015" s="62">
        <f ca="1">IFERROR(__xludf.DUMMYFUNCTION("""COMPUTED_VALUE"""),20130029)</f>
        <v>20130029</v>
      </c>
      <c r="B1015" s="62" t="str">
        <f ca="1">IFERROR(__xludf.DUMMYFUNCTION("""COMPUTED_VALUE"""),"Protector Teclado Macbook Colores")</f>
        <v>Protector Teclado Macbook Colores</v>
      </c>
      <c r="C1015" s="75">
        <f ca="1">IFERROR(__xludf.DUMMYFUNCTION("""COMPUTED_VALUE"""),20)</f>
        <v>20</v>
      </c>
      <c r="D1015" s="75">
        <f ca="1">IFERROR(__xludf.DUMMYFUNCTION("""COMPUTED_VALUE"""),0)</f>
        <v>0</v>
      </c>
      <c r="E1015" s="76">
        <f ca="1">IFERROR(__xludf.DUMMYFUNCTION("""COMPUTED_VALUE"""),20)</f>
        <v>20</v>
      </c>
      <c r="F1015" s="77">
        <f ca="1">IFERROR(__xludf.DUMMYFUNCTION("""COMPUTED_VALUE"""),20130029)</f>
        <v>20130029</v>
      </c>
      <c r="G1015" s="77" t="str">
        <f t="shared" ca="1" si="3"/>
        <v>si</v>
      </c>
    </row>
    <row r="1016" spans="1:7" ht="12.75" x14ac:dyDescent="0.2">
      <c r="A1016" s="62">
        <f ca="1">IFERROR(__xludf.DUMMYFUNCTION("""COMPUTED_VALUE"""),10080061)</f>
        <v>10080061</v>
      </c>
      <c r="B1016" s="62" t="str">
        <f ca="1">IFERROR(__xludf.DUMMYFUNCTION("""COMPUTED_VALUE"""),"Hub 6 en 1  Tipo C ")</f>
        <v xml:space="preserve">Hub 6 en 1  Tipo C </v>
      </c>
      <c r="C1016" s="75">
        <f ca="1">IFERROR(__xludf.DUMMYFUNCTION("""COMPUTED_VALUE"""),85.9)</f>
        <v>85.9</v>
      </c>
      <c r="D1016" s="75">
        <f ca="1">IFERROR(__xludf.DUMMYFUNCTION("""COMPUTED_VALUE"""),0)</f>
        <v>0</v>
      </c>
      <c r="E1016" s="76">
        <f ca="1">IFERROR(__xludf.DUMMYFUNCTION("""COMPUTED_VALUE"""),85.9)</f>
        <v>85.9</v>
      </c>
      <c r="F1016" s="77">
        <f ca="1">IFERROR(__xludf.DUMMYFUNCTION("""COMPUTED_VALUE"""),10080061)</f>
        <v>10080061</v>
      </c>
      <c r="G1016" s="77" t="str">
        <f t="shared" ca="1" si="3"/>
        <v>si</v>
      </c>
    </row>
    <row r="1017" spans="1:7" ht="12.75" x14ac:dyDescent="0.2">
      <c r="A1017" s="62">
        <f ca="1">IFERROR(__xludf.DUMMYFUNCTION("""COMPUTED_VALUE"""),10080062)</f>
        <v>10080062</v>
      </c>
      <c r="B1017" s="62" t="str">
        <f ca="1">IFERROR(__xludf.DUMMYFUNCTION("""COMPUTED_VALUE"""),"Hub 8 en 1 Largo Tipo C")</f>
        <v>Hub 8 en 1 Largo Tipo C</v>
      </c>
      <c r="C1017" s="75">
        <f ca="1">IFERROR(__xludf.DUMMYFUNCTION("""COMPUTED_VALUE"""),130)</f>
        <v>130</v>
      </c>
      <c r="D1017" s="75">
        <f ca="1">IFERROR(__xludf.DUMMYFUNCTION("""COMPUTED_VALUE"""),0)</f>
        <v>0</v>
      </c>
      <c r="E1017" s="76">
        <f ca="1">IFERROR(__xludf.DUMMYFUNCTION("""COMPUTED_VALUE"""),130)</f>
        <v>130</v>
      </c>
      <c r="F1017" s="77">
        <f ca="1">IFERROR(__xludf.DUMMYFUNCTION("""COMPUTED_VALUE"""),10080062)</f>
        <v>10080062</v>
      </c>
      <c r="G1017" s="77" t="str">
        <f t="shared" ca="1" si="3"/>
        <v>si</v>
      </c>
    </row>
    <row r="1018" spans="1:7" ht="12.75" x14ac:dyDescent="0.2">
      <c r="A1018" s="62">
        <f ca="1">IFERROR(__xludf.DUMMYFUNCTION("""COMPUTED_VALUE"""),10080312)</f>
        <v>10080312</v>
      </c>
      <c r="B1018" s="62" t="str">
        <f ca="1">IFERROR(__xludf.DUMMYFUNCTION("""COMPUTED_VALUE"""),"Clock 10W wireless charger")</f>
        <v>Clock 10W wireless charger</v>
      </c>
      <c r="C1018" s="75">
        <f ca="1">IFERROR(__xludf.DUMMYFUNCTION("""COMPUTED_VALUE"""),99.9)</f>
        <v>99.9</v>
      </c>
      <c r="D1018" s="75">
        <f ca="1">IFERROR(__xludf.DUMMYFUNCTION("""COMPUTED_VALUE"""),0)</f>
        <v>0</v>
      </c>
      <c r="E1018" s="76">
        <f ca="1">IFERROR(__xludf.DUMMYFUNCTION("""COMPUTED_VALUE"""),99.9)</f>
        <v>99.9</v>
      </c>
      <c r="F1018" s="77">
        <f ca="1">IFERROR(__xludf.DUMMYFUNCTION("""COMPUTED_VALUE"""),10080312)</f>
        <v>10080312</v>
      </c>
      <c r="G1018" s="77" t="str">
        <f t="shared" ca="1" si="3"/>
        <v>si</v>
      </c>
    </row>
    <row r="1019" spans="1:7" ht="12.75" x14ac:dyDescent="0.2">
      <c r="A1019" s="62">
        <f ca="1">IFERROR(__xludf.DUMMYFUNCTION("""COMPUTED_VALUE"""),10080063)</f>
        <v>10080063</v>
      </c>
      <c r="B1019" s="62" t="str">
        <f ca="1">IFERROR(__xludf.DUMMYFUNCTION("""COMPUTED_VALUE"""),"Hub 3 en 1 Tipo C ")</f>
        <v xml:space="preserve">Hub 3 en 1 Tipo C </v>
      </c>
      <c r="C1019" s="75">
        <f ca="1">IFERROR(__xludf.DUMMYFUNCTION("""COMPUTED_VALUE"""),50)</f>
        <v>50</v>
      </c>
      <c r="D1019" s="75">
        <f ca="1">IFERROR(__xludf.DUMMYFUNCTION("""COMPUTED_VALUE"""),0)</f>
        <v>0</v>
      </c>
      <c r="E1019" s="76">
        <f ca="1">IFERROR(__xludf.DUMMYFUNCTION("""COMPUTED_VALUE"""),50)</f>
        <v>50</v>
      </c>
      <c r="F1019" s="77">
        <f ca="1">IFERROR(__xludf.DUMMYFUNCTION("""COMPUTED_VALUE"""),10080063)</f>
        <v>10080063</v>
      </c>
      <c r="G1019" s="77" t="str">
        <f t="shared" ca="1" si="3"/>
        <v>si</v>
      </c>
    </row>
    <row r="1020" spans="1:7" ht="12.75" x14ac:dyDescent="0.2">
      <c r="A1020" s="62">
        <f ca="1">IFERROR(__xludf.DUMMYFUNCTION("""COMPUTED_VALUE"""),10080064)</f>
        <v>10080064</v>
      </c>
      <c r="B1020" s="62" t="str">
        <f ca="1">IFERROR(__xludf.DUMMYFUNCTION("""COMPUTED_VALUE"""),"Hub 7 en 1 Tipo C ")</f>
        <v xml:space="preserve">Hub 7 en 1 Tipo C </v>
      </c>
      <c r="C1020" s="75">
        <f ca="1">IFERROR(__xludf.DUMMYFUNCTION("""COMPUTED_VALUE"""),79.9)</f>
        <v>79.900000000000006</v>
      </c>
      <c r="D1020" s="75">
        <f ca="1">IFERROR(__xludf.DUMMYFUNCTION("""COMPUTED_VALUE"""),0)</f>
        <v>0</v>
      </c>
      <c r="E1020" s="76">
        <f ca="1">IFERROR(__xludf.DUMMYFUNCTION("""COMPUTED_VALUE"""),79.9)</f>
        <v>79.900000000000006</v>
      </c>
      <c r="F1020" s="77">
        <f ca="1">IFERROR(__xludf.DUMMYFUNCTION("""COMPUTED_VALUE"""),10080064)</f>
        <v>10080064</v>
      </c>
      <c r="G1020" s="77" t="str">
        <f t="shared" ca="1" si="3"/>
        <v>si</v>
      </c>
    </row>
    <row r="1021" spans="1:7" ht="12.75" x14ac:dyDescent="0.2">
      <c r="A1021" s="62">
        <f ca="1">IFERROR(__xludf.DUMMYFUNCTION("""COMPUTED_VALUE"""),10080065)</f>
        <v>10080065</v>
      </c>
      <c r="B1021" s="62" t="str">
        <f ca="1">IFERROR(__xludf.DUMMYFUNCTION("""COMPUTED_VALUE"""),"Hub 4 en 1 Tipo C  IPAD")</f>
        <v>Hub 4 en 1 Tipo C  IPAD</v>
      </c>
      <c r="C1021" s="75">
        <f ca="1">IFERROR(__xludf.DUMMYFUNCTION("""COMPUTED_VALUE"""),60)</f>
        <v>60</v>
      </c>
      <c r="D1021" s="75">
        <f ca="1">IFERROR(__xludf.DUMMYFUNCTION("""COMPUTED_VALUE"""),0)</f>
        <v>0</v>
      </c>
      <c r="E1021" s="76">
        <f ca="1">IFERROR(__xludf.DUMMYFUNCTION("""COMPUTED_VALUE"""),60)</f>
        <v>60</v>
      </c>
      <c r="F1021" s="77">
        <f ca="1">IFERROR(__xludf.DUMMYFUNCTION("""COMPUTED_VALUE"""),10080065)</f>
        <v>10080065</v>
      </c>
      <c r="G1021" s="77" t="str">
        <f t="shared" ca="1" si="3"/>
        <v>si</v>
      </c>
    </row>
    <row r="1022" spans="1:7" ht="12.75" x14ac:dyDescent="0.2">
      <c r="A1022" s="62">
        <f ca="1">IFERROR(__xludf.DUMMYFUNCTION("""COMPUTED_VALUE"""),10080050)</f>
        <v>10080050</v>
      </c>
      <c r="B1022" s="62" t="str">
        <f ca="1">IFERROR(__xludf.DUMMYFUNCTION("""COMPUTED_VALUE"""),"Smart Camara Movimiento")</f>
        <v>Smart Camara Movimiento</v>
      </c>
      <c r="C1022" s="75">
        <f ca="1">IFERROR(__xludf.DUMMYFUNCTION("""COMPUTED_VALUE"""),100)</f>
        <v>100</v>
      </c>
      <c r="D1022" s="75">
        <f ca="1">IFERROR(__xludf.DUMMYFUNCTION("""COMPUTED_VALUE"""),0)</f>
        <v>0</v>
      </c>
      <c r="E1022" s="76">
        <f ca="1">IFERROR(__xludf.DUMMYFUNCTION("""COMPUTED_VALUE"""),100)</f>
        <v>100</v>
      </c>
      <c r="F1022" s="77">
        <f ca="1">IFERROR(__xludf.DUMMYFUNCTION("""COMPUTED_VALUE"""),10080050)</f>
        <v>10080050</v>
      </c>
      <c r="G1022" s="77" t="str">
        <f t="shared" ref="G1022:G1276" ca="1" si="4">IF(F1022=A1022,"si","no")</f>
        <v>si</v>
      </c>
    </row>
    <row r="1023" spans="1:7" ht="12.75" x14ac:dyDescent="0.2">
      <c r="A1023" s="62">
        <f ca="1">IFERROR(__xludf.DUMMYFUNCTION("""COMPUTED_VALUE"""),10080026)</f>
        <v>10080026</v>
      </c>
      <c r="B1023" s="62" t="str">
        <f ca="1">IFERROR(__xludf.DUMMYFUNCTION("""COMPUTED_VALUE"""),"Centros de Carga Celular / IPAD Plano")</f>
        <v>Centros de Carga Celular / IPAD Plano</v>
      </c>
      <c r="C1023" s="75">
        <f ca="1">IFERROR(__xludf.DUMMYFUNCTION("""COMPUTED_VALUE"""),90)</f>
        <v>90</v>
      </c>
      <c r="D1023" s="75">
        <f ca="1">IFERROR(__xludf.DUMMYFUNCTION("""COMPUTED_VALUE"""),0)</f>
        <v>0</v>
      </c>
      <c r="E1023" s="76">
        <f ca="1">IFERROR(__xludf.DUMMYFUNCTION("""COMPUTED_VALUE"""),90)</f>
        <v>90</v>
      </c>
      <c r="F1023" s="77">
        <f ca="1">IFERROR(__xludf.DUMMYFUNCTION("""COMPUTED_VALUE"""),10080026)</f>
        <v>10080026</v>
      </c>
      <c r="G1023" s="77" t="str">
        <f t="shared" ca="1" si="4"/>
        <v>si</v>
      </c>
    </row>
    <row r="1024" spans="1:7" ht="12.75" x14ac:dyDescent="0.2">
      <c r="A1024" s="62">
        <f ca="1">IFERROR(__xludf.DUMMYFUNCTION("""COMPUTED_VALUE"""),10080066)</f>
        <v>10080066</v>
      </c>
      <c r="B1024" s="62" t="str">
        <f ca="1">IFERROR(__xludf.DUMMYFUNCTION("""COMPUTED_VALUE"""),"Camara Para Automovil")</f>
        <v>Camara Para Automovil</v>
      </c>
      <c r="C1024" s="75">
        <f ca="1">IFERROR(__xludf.DUMMYFUNCTION("""COMPUTED_VALUE"""),60)</f>
        <v>60</v>
      </c>
      <c r="D1024" s="75">
        <f ca="1">IFERROR(__xludf.DUMMYFUNCTION("""COMPUTED_VALUE"""),0)</f>
        <v>0</v>
      </c>
      <c r="E1024" s="76">
        <f ca="1">IFERROR(__xludf.DUMMYFUNCTION("""COMPUTED_VALUE"""),60)</f>
        <v>60</v>
      </c>
      <c r="F1024" s="77">
        <f ca="1">IFERROR(__xludf.DUMMYFUNCTION("""COMPUTED_VALUE"""),10080066)</f>
        <v>10080066</v>
      </c>
      <c r="G1024" s="77" t="str">
        <f t="shared" ca="1" si="4"/>
        <v>si</v>
      </c>
    </row>
    <row r="1025" spans="1:7" ht="12.75" x14ac:dyDescent="0.2">
      <c r="A1025" s="62">
        <f ca="1">IFERROR(__xludf.DUMMYFUNCTION("""COMPUTED_VALUE"""),10080067)</f>
        <v>10080067</v>
      </c>
      <c r="B1025" s="62" t="str">
        <f ca="1">IFERROR(__xludf.DUMMYFUNCTION("""COMPUTED_VALUE"""),"Hub 5 en 1 Tipo C ")</f>
        <v xml:space="preserve">Hub 5 en 1 Tipo C </v>
      </c>
      <c r="C1025" s="75">
        <f ca="1">IFERROR(__xludf.DUMMYFUNCTION("""COMPUTED_VALUE"""),80)</f>
        <v>80</v>
      </c>
      <c r="D1025" s="75">
        <f ca="1">IFERROR(__xludf.DUMMYFUNCTION("""COMPUTED_VALUE"""),0)</f>
        <v>0</v>
      </c>
      <c r="E1025" s="76">
        <f ca="1">IFERROR(__xludf.DUMMYFUNCTION("""COMPUTED_VALUE"""),80)</f>
        <v>80</v>
      </c>
      <c r="F1025" s="77">
        <f ca="1">IFERROR(__xludf.DUMMYFUNCTION("""COMPUTED_VALUE"""),10080067)</f>
        <v>10080067</v>
      </c>
      <c r="G1025" s="77" t="str">
        <f t="shared" ca="1" si="4"/>
        <v>si</v>
      </c>
    </row>
    <row r="1026" spans="1:7" ht="12.75" x14ac:dyDescent="0.2">
      <c r="A1026" s="62">
        <f ca="1">IFERROR(__xludf.DUMMYFUNCTION("""COMPUTED_VALUE"""),10080009)</f>
        <v>10080009</v>
      </c>
      <c r="B1026" s="62" t="str">
        <f ca="1">IFERROR(__xludf.DUMMYFUNCTION("""COMPUTED_VALUE"""),"Adaptador C a Usb")</f>
        <v>Adaptador C a Usb</v>
      </c>
      <c r="C1026" s="75">
        <f ca="1">IFERROR(__xludf.DUMMYFUNCTION("""COMPUTED_VALUE"""),30)</f>
        <v>30</v>
      </c>
      <c r="D1026" s="75">
        <f ca="1">IFERROR(__xludf.DUMMYFUNCTION("""COMPUTED_VALUE"""),0)</f>
        <v>0</v>
      </c>
      <c r="E1026" s="76">
        <f ca="1">IFERROR(__xludf.DUMMYFUNCTION("""COMPUTED_VALUE"""),30)</f>
        <v>30</v>
      </c>
      <c r="F1026" s="77">
        <f ca="1">IFERROR(__xludf.DUMMYFUNCTION("""COMPUTED_VALUE"""),10080009)</f>
        <v>10080009</v>
      </c>
      <c r="G1026" s="77" t="str">
        <f t="shared" ca="1" si="4"/>
        <v>si</v>
      </c>
    </row>
    <row r="1027" spans="1:7" ht="12.75" x14ac:dyDescent="0.2">
      <c r="A1027" s="62">
        <f ca="1">IFERROR(__xludf.DUMMYFUNCTION("""COMPUTED_VALUE"""),10080008)</f>
        <v>10080008</v>
      </c>
      <c r="B1027" s="62" t="str">
        <f ca="1">IFERROR(__xludf.DUMMYFUNCTION("""COMPUTED_VALUE"""),"Adaptador C a HDMI")</f>
        <v>Adaptador C a HDMI</v>
      </c>
      <c r="C1027" s="75">
        <f ca="1">IFERROR(__xludf.DUMMYFUNCTION("""COMPUTED_VALUE"""),50)</f>
        <v>50</v>
      </c>
      <c r="D1027" s="75">
        <f ca="1">IFERROR(__xludf.DUMMYFUNCTION("""COMPUTED_VALUE"""),0)</f>
        <v>0</v>
      </c>
      <c r="E1027" s="76">
        <f ca="1">IFERROR(__xludf.DUMMYFUNCTION("""COMPUTED_VALUE"""),50)</f>
        <v>50</v>
      </c>
      <c r="F1027" s="77">
        <f ca="1">IFERROR(__xludf.DUMMYFUNCTION("""COMPUTED_VALUE"""),10080008)</f>
        <v>10080008</v>
      </c>
      <c r="G1027" s="77" t="str">
        <f t="shared" ca="1" si="4"/>
        <v>si</v>
      </c>
    </row>
    <row r="1028" spans="1:7" ht="12.75" x14ac:dyDescent="0.2">
      <c r="A1028" s="62">
        <f ca="1">IFERROR(__xludf.DUMMYFUNCTION("""COMPUTED_VALUE"""),10080010)</f>
        <v>10080010</v>
      </c>
      <c r="B1028" s="62" t="str">
        <f ca="1">IFERROR(__xludf.DUMMYFUNCTION("""COMPUTED_VALUE"""),"Adaptador Celular Auto")</f>
        <v>Adaptador Celular Auto</v>
      </c>
      <c r="C1028" s="75">
        <f ca="1">IFERROR(__xludf.DUMMYFUNCTION("""COMPUTED_VALUE"""),10)</f>
        <v>10</v>
      </c>
      <c r="D1028" s="75">
        <f ca="1">IFERROR(__xludf.DUMMYFUNCTION("""COMPUTED_VALUE"""),0)</f>
        <v>0</v>
      </c>
      <c r="E1028" s="76">
        <f ca="1">IFERROR(__xludf.DUMMYFUNCTION("""COMPUTED_VALUE"""),10)</f>
        <v>10</v>
      </c>
      <c r="F1028" s="77">
        <f ca="1">IFERROR(__xludf.DUMMYFUNCTION("""COMPUTED_VALUE"""),10080010)</f>
        <v>10080010</v>
      </c>
      <c r="G1028" s="77" t="str">
        <f t="shared" ca="1" si="4"/>
        <v>si</v>
      </c>
    </row>
    <row r="1029" spans="1:7" ht="12.75" x14ac:dyDescent="0.2">
      <c r="A1029" s="62">
        <f ca="1">IFERROR(__xludf.DUMMYFUNCTION("""COMPUTED_VALUE"""),10080068)</f>
        <v>10080068</v>
      </c>
      <c r="B1029" s="62" t="str">
        <f ca="1">IFERROR(__xludf.DUMMYFUNCTION("""COMPUTED_VALUE"""),"Hub 8 en 1 Tipo C")</f>
        <v>Hub 8 en 1 Tipo C</v>
      </c>
      <c r="C1029" s="75">
        <f ca="1">IFERROR(__xludf.DUMMYFUNCTION("""COMPUTED_VALUE"""),130)</f>
        <v>130</v>
      </c>
      <c r="D1029" s="75">
        <f ca="1">IFERROR(__xludf.DUMMYFUNCTION("""COMPUTED_VALUE"""),0)</f>
        <v>0</v>
      </c>
      <c r="E1029" s="76">
        <f ca="1">IFERROR(__xludf.DUMMYFUNCTION("""COMPUTED_VALUE"""),130)</f>
        <v>130</v>
      </c>
      <c r="F1029" s="77">
        <f ca="1">IFERROR(__xludf.DUMMYFUNCTION("""COMPUTED_VALUE"""),10080068)</f>
        <v>10080068</v>
      </c>
      <c r="G1029" s="77" t="str">
        <f t="shared" ca="1" si="4"/>
        <v>si</v>
      </c>
    </row>
    <row r="1030" spans="1:7" ht="12.75" x14ac:dyDescent="0.2">
      <c r="A1030" s="62">
        <f ca="1">IFERROR(__xludf.DUMMYFUNCTION("""COMPUTED_VALUE"""),10080069)</f>
        <v>10080069</v>
      </c>
      <c r="B1030" s="62" t="str">
        <f ca="1">IFERROR(__xludf.DUMMYFUNCTION("""COMPUTED_VALUE"""),"Hub 4 en 1 Tipo C ")</f>
        <v xml:space="preserve">Hub 4 en 1 Tipo C </v>
      </c>
      <c r="C1030" s="75">
        <f ca="1">IFERROR(__xludf.DUMMYFUNCTION("""COMPUTED_VALUE"""),50)</f>
        <v>50</v>
      </c>
      <c r="D1030" s="75">
        <f ca="1">IFERROR(__xludf.DUMMYFUNCTION("""COMPUTED_VALUE"""),0)</f>
        <v>0</v>
      </c>
      <c r="E1030" s="76">
        <f ca="1">IFERROR(__xludf.DUMMYFUNCTION("""COMPUTED_VALUE"""),50)</f>
        <v>50</v>
      </c>
      <c r="F1030" s="77">
        <f ca="1">IFERROR(__xludf.DUMMYFUNCTION("""COMPUTED_VALUE"""),10080069)</f>
        <v>10080069</v>
      </c>
      <c r="G1030" s="77" t="str">
        <f t="shared" ca="1" si="4"/>
        <v>si</v>
      </c>
    </row>
    <row r="1031" spans="1:7" ht="12.75" x14ac:dyDescent="0.2">
      <c r="A1031" s="62">
        <f ca="1">IFERROR(__xludf.DUMMYFUNCTION("""COMPUTED_VALUE"""),10080291)</f>
        <v>10080291</v>
      </c>
      <c r="B1031" s="62" t="str">
        <f ca="1">IFERROR(__xludf.DUMMYFUNCTION("""COMPUTED_VALUE"""),"Hub 4 en 1 Largo")</f>
        <v>Hub 4 en 1 Largo</v>
      </c>
      <c r="C1031" s="75">
        <f ca="1">IFERROR(__xludf.DUMMYFUNCTION("""COMPUTED_VALUE"""),35)</f>
        <v>35</v>
      </c>
      <c r="D1031" s="75">
        <f ca="1">IFERROR(__xludf.DUMMYFUNCTION("""COMPUTED_VALUE"""),0)</f>
        <v>0</v>
      </c>
      <c r="E1031" s="76">
        <f ca="1">IFERROR(__xludf.DUMMYFUNCTION("""COMPUTED_VALUE"""),35)</f>
        <v>35</v>
      </c>
      <c r="F1031" s="77">
        <f ca="1">IFERROR(__xludf.DUMMYFUNCTION("""COMPUTED_VALUE"""),10080291)</f>
        <v>10080291</v>
      </c>
      <c r="G1031" s="77" t="str">
        <f t="shared" ca="1" si="4"/>
        <v>si</v>
      </c>
    </row>
    <row r="1032" spans="1:7" ht="12.75" x14ac:dyDescent="0.2">
      <c r="A1032" s="62">
        <f ca="1">IFERROR(__xludf.DUMMYFUNCTION("""COMPUTED_VALUE"""),10080019)</f>
        <v>10080019</v>
      </c>
      <c r="B1032" s="62" t="str">
        <f ca="1">IFERROR(__xludf.DUMMYFUNCTION("""COMPUTED_VALUE"""),"Cable iphone Original Caja Sellada ")</f>
        <v xml:space="preserve">Cable iphone Original Caja Sellada </v>
      </c>
      <c r="C1032" s="75">
        <f ca="1">IFERROR(__xludf.DUMMYFUNCTION("""COMPUTED_VALUE"""),60)</f>
        <v>60</v>
      </c>
      <c r="D1032" s="75">
        <f ca="1">IFERROR(__xludf.DUMMYFUNCTION("""COMPUTED_VALUE"""),0)</f>
        <v>0</v>
      </c>
      <c r="E1032" s="76">
        <f ca="1">IFERROR(__xludf.DUMMYFUNCTION("""COMPUTED_VALUE"""),60)</f>
        <v>60</v>
      </c>
      <c r="F1032" s="77">
        <f ca="1">IFERROR(__xludf.DUMMYFUNCTION("""COMPUTED_VALUE"""),10080019)</f>
        <v>10080019</v>
      </c>
      <c r="G1032" s="77" t="str">
        <f t="shared" ca="1" si="4"/>
        <v>si</v>
      </c>
    </row>
    <row r="1033" spans="1:7" ht="12.75" x14ac:dyDescent="0.2">
      <c r="A1033" s="62">
        <f ca="1">IFERROR(__xludf.DUMMYFUNCTION("""COMPUTED_VALUE"""),10030008)</f>
        <v>10030008</v>
      </c>
      <c r="B1033" s="62" t="str">
        <f ca="1">IFERROR(__xludf.DUMMYFUNCTION("""COMPUTED_VALUE"""),"Cubo Iphone Carga Rapida 11pro - 11 Pro max")</f>
        <v>Cubo Iphone Carga Rapida 11pro - 11 Pro max</v>
      </c>
      <c r="C1033" s="75">
        <f ca="1">IFERROR(__xludf.DUMMYFUNCTION("""COMPUTED_VALUE"""),80)</f>
        <v>80</v>
      </c>
      <c r="D1033" s="75">
        <f ca="1">IFERROR(__xludf.DUMMYFUNCTION("""COMPUTED_VALUE"""),0)</f>
        <v>0</v>
      </c>
      <c r="E1033" s="76">
        <f ca="1">IFERROR(__xludf.DUMMYFUNCTION("""COMPUTED_VALUE"""),80)</f>
        <v>80</v>
      </c>
      <c r="F1033" s="77">
        <f ca="1">IFERROR(__xludf.DUMMYFUNCTION("""COMPUTED_VALUE"""),10030008)</f>
        <v>10030008</v>
      </c>
      <c r="G1033" s="77" t="str">
        <f t="shared" ca="1" si="4"/>
        <v>si</v>
      </c>
    </row>
    <row r="1034" spans="1:7" ht="12.75" x14ac:dyDescent="0.2">
      <c r="A1034" s="62">
        <f ca="1">IFERROR(__xludf.DUMMYFUNCTION("""COMPUTED_VALUE"""),10080017)</f>
        <v>10080017</v>
      </c>
      <c r="B1034" s="62" t="str">
        <f ca="1">IFERROR(__xludf.DUMMYFUNCTION("""COMPUTED_VALUE"""),"Cable C a Lighnith Carga Rapida 11pro - 11 Pro max")</f>
        <v>Cable C a Lighnith Carga Rapida 11pro - 11 Pro max</v>
      </c>
      <c r="C1034" s="75">
        <f ca="1">IFERROR(__xludf.DUMMYFUNCTION("""COMPUTED_VALUE"""),50)</f>
        <v>50</v>
      </c>
      <c r="D1034" s="75">
        <f ca="1">IFERROR(__xludf.DUMMYFUNCTION("""COMPUTED_VALUE"""),0)</f>
        <v>0</v>
      </c>
      <c r="E1034" s="76">
        <f ca="1">IFERROR(__xludf.DUMMYFUNCTION("""COMPUTED_VALUE"""),50)</f>
        <v>50</v>
      </c>
      <c r="F1034" s="77">
        <f ca="1">IFERROR(__xludf.DUMMYFUNCTION("""COMPUTED_VALUE"""),10080017)</f>
        <v>10080017</v>
      </c>
      <c r="G1034" s="77" t="str">
        <f t="shared" ca="1" si="4"/>
        <v>si</v>
      </c>
    </row>
    <row r="1035" spans="1:7" ht="12.75" x14ac:dyDescent="0.2">
      <c r="A1035" s="62">
        <f ca="1">IFERROR(__xludf.DUMMYFUNCTION("""COMPUTED_VALUE"""),10120002)</f>
        <v>10120002</v>
      </c>
      <c r="B1035" s="62" t="str">
        <f ca="1">IFERROR(__xludf.DUMMYFUNCTION("""COMPUTED_VALUE"""),"AUDIFONOS 6G Punta Normal Original")</f>
        <v>AUDIFONOS 6G Punta Normal Original</v>
      </c>
      <c r="C1035" s="75">
        <f ca="1">IFERROR(__xludf.DUMMYFUNCTION("""COMPUTED_VALUE"""),40)</f>
        <v>40</v>
      </c>
      <c r="D1035" s="75">
        <f ca="1">IFERROR(__xludf.DUMMYFUNCTION("""COMPUTED_VALUE"""),0)</f>
        <v>0</v>
      </c>
      <c r="E1035" s="76">
        <f ca="1">IFERROR(__xludf.DUMMYFUNCTION("""COMPUTED_VALUE"""),40)</f>
        <v>40</v>
      </c>
      <c r="F1035" s="77">
        <f ca="1">IFERROR(__xludf.DUMMYFUNCTION("""COMPUTED_VALUE"""),10120002)</f>
        <v>10120002</v>
      </c>
      <c r="G1035" s="77" t="str">
        <f t="shared" ca="1" si="4"/>
        <v>si</v>
      </c>
    </row>
    <row r="1036" spans="1:7" ht="12.75" x14ac:dyDescent="0.2">
      <c r="A1036" s="62">
        <f ca="1">IFERROR(__xludf.DUMMYFUNCTION("""COMPUTED_VALUE"""),10120003)</f>
        <v>10120003</v>
      </c>
      <c r="B1036" s="62" t="str">
        <f ca="1">IFERROR(__xludf.DUMMYFUNCTION("""COMPUTED_VALUE"""),"AUDIFONOS 7, 8 Lighnith Original ")</f>
        <v xml:space="preserve">AUDIFONOS 7, 8 Lighnith Original </v>
      </c>
      <c r="C1036" s="75">
        <f ca="1">IFERROR(__xludf.DUMMYFUNCTION("""COMPUTED_VALUE"""),40)</f>
        <v>40</v>
      </c>
      <c r="D1036" s="75">
        <f ca="1">IFERROR(__xludf.DUMMYFUNCTION("""COMPUTED_VALUE"""),0)</f>
        <v>0</v>
      </c>
      <c r="E1036" s="76">
        <f ca="1">IFERROR(__xludf.DUMMYFUNCTION("""COMPUTED_VALUE"""),40)</f>
        <v>40</v>
      </c>
      <c r="F1036" s="77">
        <f ca="1">IFERROR(__xludf.DUMMYFUNCTION("""COMPUTED_VALUE"""),10120003)</f>
        <v>10120003</v>
      </c>
      <c r="G1036" s="77" t="str">
        <f t="shared" ca="1" si="4"/>
        <v>si</v>
      </c>
    </row>
    <row r="1037" spans="1:7" ht="12.75" x14ac:dyDescent="0.2">
      <c r="A1037" s="62">
        <f ca="1">IFERROR(__xludf.DUMMYFUNCTION("""COMPUTED_VALUE"""),10030002)</f>
        <v>10030002</v>
      </c>
      <c r="B1037" s="62" t="str">
        <f ca="1">IFERROR(__xludf.DUMMYFUNCTION("""COMPUTED_VALUE"""),"Cargador Apple Watch USB-C Cable O")</f>
        <v>Cargador Apple Watch USB-C Cable O</v>
      </c>
      <c r="C1037" s="75">
        <f ca="1">IFERROR(__xludf.DUMMYFUNCTION("""COMPUTED_VALUE"""),60)</f>
        <v>60</v>
      </c>
      <c r="D1037" s="75">
        <f ca="1">IFERROR(__xludf.DUMMYFUNCTION("""COMPUTED_VALUE"""),0)</f>
        <v>0</v>
      </c>
      <c r="E1037" s="76">
        <f ca="1">IFERROR(__xludf.DUMMYFUNCTION("""COMPUTED_VALUE"""),60)</f>
        <v>60</v>
      </c>
      <c r="F1037" s="77">
        <f ca="1">IFERROR(__xludf.DUMMYFUNCTION("""COMPUTED_VALUE"""),10030002)</f>
        <v>10030002</v>
      </c>
      <c r="G1037" s="77" t="str">
        <f t="shared" ca="1" si="4"/>
        <v>si</v>
      </c>
    </row>
    <row r="1038" spans="1:7" ht="12.75" x14ac:dyDescent="0.2">
      <c r="A1038" s="62">
        <f ca="1">IFERROR(__xludf.DUMMYFUNCTION("""COMPUTED_VALUE"""),10080016)</f>
        <v>10080016</v>
      </c>
      <c r="B1038" s="62" t="str">
        <f ca="1">IFERROR(__xludf.DUMMYFUNCTION("""COMPUTED_VALUE"""),"Cable 2m Tipo C a C  (para Macbook)")</f>
        <v>Cable 2m Tipo C a C  (para Macbook)</v>
      </c>
      <c r="C1038" s="75">
        <f ca="1">IFERROR(__xludf.DUMMYFUNCTION("""COMPUTED_VALUE"""),50)</f>
        <v>50</v>
      </c>
      <c r="D1038" s="75">
        <f ca="1">IFERROR(__xludf.DUMMYFUNCTION("""COMPUTED_VALUE"""),0)</f>
        <v>0</v>
      </c>
      <c r="E1038" s="76">
        <f ca="1">IFERROR(__xludf.DUMMYFUNCTION("""COMPUTED_VALUE"""),50)</f>
        <v>50</v>
      </c>
      <c r="F1038" s="77">
        <f ca="1">IFERROR(__xludf.DUMMYFUNCTION("""COMPUTED_VALUE"""),10080016)</f>
        <v>10080016</v>
      </c>
      <c r="G1038" s="77" t="str">
        <f t="shared" ca="1" si="4"/>
        <v>si</v>
      </c>
    </row>
    <row r="1039" spans="1:7" ht="12.75" x14ac:dyDescent="0.2">
      <c r="A1039" s="62">
        <f ca="1">IFERROR(__xludf.DUMMYFUNCTION("""COMPUTED_VALUE"""),10080020)</f>
        <v>10080020</v>
      </c>
      <c r="B1039" s="62"/>
      <c r="C1039" s="62"/>
      <c r="D1039" s="62"/>
      <c r="E1039" s="57"/>
      <c r="F1039" s="77">
        <f ca="1">IFERROR(__xludf.DUMMYFUNCTION("""COMPUTED_VALUE"""),10080020)</f>
        <v>10080020</v>
      </c>
      <c r="G1039" s="77" t="str">
        <f t="shared" ca="1" si="4"/>
        <v>si</v>
      </c>
    </row>
    <row r="1040" spans="1:7" ht="12.75" x14ac:dyDescent="0.2">
      <c r="A1040" s="62">
        <f ca="1">IFERROR(__xludf.DUMMYFUNCTION("""COMPUTED_VALUE"""),20130025)</f>
        <v>20130025</v>
      </c>
      <c r="B1040" s="62" t="str">
        <f ca="1">IFERROR(__xludf.DUMMYFUNCTION("""COMPUTED_VALUE"""),"Soporte Macbook / Laptop")</f>
        <v>Soporte Macbook / Laptop</v>
      </c>
      <c r="C1040" s="75">
        <f ca="1">IFERROR(__xludf.DUMMYFUNCTION("""COMPUTED_VALUE"""),70)</f>
        <v>70</v>
      </c>
      <c r="D1040" s="75">
        <f ca="1">IFERROR(__xludf.DUMMYFUNCTION("""COMPUTED_VALUE"""),0)</f>
        <v>0</v>
      </c>
      <c r="E1040" s="76">
        <f ca="1">IFERROR(__xludf.DUMMYFUNCTION("""COMPUTED_VALUE"""),70)</f>
        <v>70</v>
      </c>
      <c r="F1040" s="77">
        <f ca="1">IFERROR(__xludf.DUMMYFUNCTION("""COMPUTED_VALUE"""),20130025)</f>
        <v>20130025</v>
      </c>
      <c r="G1040" s="77" t="str">
        <f t="shared" ca="1" si="4"/>
        <v>si</v>
      </c>
    </row>
    <row r="1041" spans="1:7" ht="12.75" x14ac:dyDescent="0.2">
      <c r="A1041" s="62">
        <f ca="1">IFERROR(__xludf.DUMMYFUNCTION("""COMPUTED_VALUE"""),10080055)</f>
        <v>10080055</v>
      </c>
      <c r="B1041" s="62" t="str">
        <f ca="1">IFERROR(__xludf.DUMMYFUNCTION("""COMPUTED_VALUE"""),"USB cable (iphone 4) Apple 30 pin ")</f>
        <v xml:space="preserve">USB cable (iphone 4) Apple 30 pin </v>
      </c>
      <c r="C1041" s="75">
        <f ca="1">IFERROR(__xludf.DUMMYFUNCTION("""COMPUTED_VALUE"""),20)</f>
        <v>20</v>
      </c>
      <c r="D1041" s="75">
        <f ca="1">IFERROR(__xludf.DUMMYFUNCTION("""COMPUTED_VALUE"""),0)</f>
        <v>0</v>
      </c>
      <c r="E1041" s="76">
        <f ca="1">IFERROR(__xludf.DUMMYFUNCTION("""COMPUTED_VALUE"""),20)</f>
        <v>20</v>
      </c>
      <c r="F1041" s="77">
        <f ca="1">IFERROR(__xludf.DUMMYFUNCTION("""COMPUTED_VALUE"""),10080055)</f>
        <v>10080055</v>
      </c>
      <c r="G1041" s="77" t="str">
        <f t="shared" ca="1" si="4"/>
        <v>si</v>
      </c>
    </row>
    <row r="1042" spans="1:7" ht="12.75" x14ac:dyDescent="0.2">
      <c r="A1042" s="62">
        <f ca="1">IFERROR(__xludf.DUMMYFUNCTION("""COMPUTED_VALUE"""),20160001)</f>
        <v>20160001</v>
      </c>
      <c r="B1042" s="62" t="str">
        <f ca="1">IFERROR(__xludf.DUMMYFUNCTION("""COMPUTED_VALUE"""),"Adaptador mini display VGA Macbook")</f>
        <v>Adaptador mini display VGA Macbook</v>
      </c>
      <c r="C1042" s="75">
        <f ca="1">IFERROR(__xludf.DUMMYFUNCTION("""COMPUTED_VALUE"""),30)</f>
        <v>30</v>
      </c>
      <c r="D1042" s="75">
        <f ca="1">IFERROR(__xludf.DUMMYFUNCTION("""COMPUTED_VALUE"""),0)</f>
        <v>0</v>
      </c>
      <c r="E1042" s="76">
        <f ca="1">IFERROR(__xludf.DUMMYFUNCTION("""COMPUTED_VALUE"""),30)</f>
        <v>30</v>
      </c>
      <c r="F1042" s="77">
        <f ca="1">IFERROR(__xludf.DUMMYFUNCTION("""COMPUTED_VALUE"""),20160001)</f>
        <v>20160001</v>
      </c>
      <c r="G1042" s="77" t="str">
        <f t="shared" ca="1" si="4"/>
        <v>si</v>
      </c>
    </row>
    <row r="1043" spans="1:7" ht="12.75" x14ac:dyDescent="0.2">
      <c r="A1043" s="62">
        <f ca="1">IFERROR(__xludf.DUMMYFUNCTION("""COMPUTED_VALUE"""),10080029)</f>
        <v>10080029</v>
      </c>
      <c r="B1043" s="62" t="str">
        <f ca="1">IFERROR(__xludf.DUMMYFUNCTION("""COMPUTED_VALUE"""),"Cubo Apple Original 20W")</f>
        <v>Cubo Apple Original 20W</v>
      </c>
      <c r="C1043" s="75">
        <f ca="1">IFERROR(__xludf.DUMMYFUNCTION("""COMPUTED_VALUE"""),130)</f>
        <v>130</v>
      </c>
      <c r="D1043" s="75">
        <f ca="1">IFERROR(__xludf.DUMMYFUNCTION("""COMPUTED_VALUE"""),0)</f>
        <v>0</v>
      </c>
      <c r="E1043" s="76">
        <f ca="1">IFERROR(__xludf.DUMMYFUNCTION("""COMPUTED_VALUE"""),130)</f>
        <v>130</v>
      </c>
      <c r="F1043" s="77">
        <f ca="1">IFERROR(__xludf.DUMMYFUNCTION("""COMPUTED_VALUE"""),10080029)</f>
        <v>10080029</v>
      </c>
      <c r="G1043" s="77" t="str">
        <f t="shared" ca="1" si="4"/>
        <v>si</v>
      </c>
    </row>
    <row r="1044" spans="1:7" ht="12.75" x14ac:dyDescent="0.2">
      <c r="A1044" s="62">
        <f ca="1">IFERROR(__xludf.DUMMYFUNCTION("""COMPUTED_VALUE"""),10080021)</f>
        <v>10080021</v>
      </c>
      <c r="B1044" s="62"/>
      <c r="C1044" s="62"/>
      <c r="D1044" s="62"/>
      <c r="E1044" s="57"/>
      <c r="F1044" s="77">
        <f ca="1">IFERROR(__xludf.DUMMYFUNCTION("""COMPUTED_VALUE"""),10080021)</f>
        <v>10080021</v>
      </c>
      <c r="G1044" s="77" t="str">
        <f t="shared" ca="1" si="4"/>
        <v>si</v>
      </c>
    </row>
    <row r="1045" spans="1:7" ht="12.75" x14ac:dyDescent="0.2">
      <c r="A1045" s="62">
        <f ca="1">IFERROR(__xludf.DUMMYFUNCTION("""COMPUTED_VALUE"""),10080022)</f>
        <v>10080022</v>
      </c>
      <c r="B1045" s="62"/>
      <c r="C1045" s="62"/>
      <c r="D1045" s="62"/>
      <c r="E1045" s="57"/>
      <c r="F1045" s="77">
        <f ca="1">IFERROR(__xludf.DUMMYFUNCTION("""COMPUTED_VALUE"""),10080022)</f>
        <v>10080022</v>
      </c>
      <c r="G1045" s="77" t="str">
        <f t="shared" ca="1" si="4"/>
        <v>si</v>
      </c>
    </row>
    <row r="1046" spans="1:7" ht="12.75" x14ac:dyDescent="0.2">
      <c r="A1046" s="62">
        <f ca="1">IFERROR(__xludf.DUMMYFUNCTION("""COMPUTED_VALUE"""),10030007)</f>
        <v>10030007</v>
      </c>
      <c r="B1046" s="62" t="str">
        <f ca="1">IFERROR(__xludf.DUMMYFUNCTION("""COMPUTED_VALUE"""),"Cubo de Android fast charguer 2A / OPPO")</f>
        <v>Cubo de Android fast charguer 2A / OPPO</v>
      </c>
      <c r="C1046" s="75">
        <f ca="1">IFERROR(__xludf.DUMMYFUNCTION("""COMPUTED_VALUE"""),20)</f>
        <v>20</v>
      </c>
      <c r="D1046" s="75">
        <f ca="1">IFERROR(__xludf.DUMMYFUNCTION("""COMPUTED_VALUE"""),0)</f>
        <v>0</v>
      </c>
      <c r="E1046" s="76">
        <f ca="1">IFERROR(__xludf.DUMMYFUNCTION("""COMPUTED_VALUE"""),20)</f>
        <v>20</v>
      </c>
      <c r="F1046" s="77">
        <f ca="1">IFERROR(__xludf.DUMMYFUNCTION("""COMPUTED_VALUE"""),10030007)</f>
        <v>10030007</v>
      </c>
      <c r="G1046" s="77" t="str">
        <f t="shared" ca="1" si="4"/>
        <v>si</v>
      </c>
    </row>
    <row r="1047" spans="1:7" ht="12.75" x14ac:dyDescent="0.2">
      <c r="A1047" s="62">
        <f ca="1">IFERROR(__xludf.DUMMYFUNCTION("""COMPUTED_VALUE"""),10080028)</f>
        <v>10080028</v>
      </c>
      <c r="B1047" s="62" t="str">
        <f ca="1">IFERROR(__xludf.DUMMYFUNCTION("""COMPUTED_VALUE"""),"Correa Apple Watch ")</f>
        <v xml:space="preserve">Correa Apple Watch </v>
      </c>
      <c r="C1047" s="75">
        <f ca="1">IFERROR(__xludf.DUMMYFUNCTION("""COMPUTED_VALUE"""),20)</f>
        <v>20</v>
      </c>
      <c r="D1047" s="75">
        <f ca="1">IFERROR(__xludf.DUMMYFUNCTION("""COMPUTED_VALUE"""),0)</f>
        <v>0</v>
      </c>
      <c r="E1047" s="76">
        <f ca="1">IFERROR(__xludf.DUMMYFUNCTION("""COMPUTED_VALUE"""),20)</f>
        <v>20</v>
      </c>
      <c r="F1047" s="77">
        <f ca="1">IFERROR(__xludf.DUMMYFUNCTION("""COMPUTED_VALUE"""),10080028)</f>
        <v>10080028</v>
      </c>
      <c r="G1047" s="77" t="str">
        <f t="shared" ca="1" si="4"/>
        <v>si</v>
      </c>
    </row>
    <row r="1048" spans="1:7" ht="12.75" x14ac:dyDescent="0.2">
      <c r="A1048" s="62">
        <f ca="1">IFERROR(__xludf.DUMMYFUNCTION("""COMPUTED_VALUE"""),10050003)</f>
        <v>10050003</v>
      </c>
      <c r="B1048" s="62" t="str">
        <f ca="1">IFERROR(__xludf.DUMMYFUNCTION("""COMPUTED_VALUE"""),"Case Apple Watch ")</f>
        <v xml:space="preserve">Case Apple Watch </v>
      </c>
      <c r="C1048" s="75">
        <f ca="1">IFERROR(__xludf.DUMMYFUNCTION("""COMPUTED_VALUE"""),20)</f>
        <v>20</v>
      </c>
      <c r="D1048" s="75">
        <f ca="1">IFERROR(__xludf.DUMMYFUNCTION("""COMPUTED_VALUE"""),0)</f>
        <v>0</v>
      </c>
      <c r="E1048" s="76">
        <f ca="1">IFERROR(__xludf.DUMMYFUNCTION("""COMPUTED_VALUE"""),20)</f>
        <v>20</v>
      </c>
      <c r="F1048" s="77">
        <f ca="1">IFERROR(__xludf.DUMMYFUNCTION("""COMPUTED_VALUE"""),10050003)</f>
        <v>10050003</v>
      </c>
      <c r="G1048" s="77" t="str">
        <f t="shared" ca="1" si="4"/>
        <v>si</v>
      </c>
    </row>
    <row r="1049" spans="1:7" ht="12.75" x14ac:dyDescent="0.2">
      <c r="A1049" s="62">
        <f ca="1">IFERROR(__xludf.DUMMYFUNCTION("""COMPUTED_VALUE"""),20010001)</f>
        <v>20010001</v>
      </c>
      <c r="B1049" s="62" t="str">
        <f ca="1">IFERROR(__xludf.DUMMYFUNCTION("""COMPUTED_VALUE"""),"Combo Teclado Retroiluminada")</f>
        <v>Combo Teclado Retroiluminada</v>
      </c>
      <c r="C1049" s="75">
        <f ca="1">IFERROR(__xludf.DUMMYFUNCTION("""COMPUTED_VALUE"""),80)</f>
        <v>80</v>
      </c>
      <c r="D1049" s="75">
        <f ca="1">IFERROR(__xludf.DUMMYFUNCTION("""COMPUTED_VALUE"""),0)</f>
        <v>0</v>
      </c>
      <c r="E1049" s="76">
        <f ca="1">IFERROR(__xludf.DUMMYFUNCTION("""COMPUTED_VALUE"""),80)</f>
        <v>80</v>
      </c>
      <c r="F1049" s="77">
        <f ca="1">IFERROR(__xludf.DUMMYFUNCTION("""COMPUTED_VALUE"""),20010001)</f>
        <v>20010001</v>
      </c>
      <c r="G1049" s="77" t="str">
        <f t="shared" ca="1" si="4"/>
        <v>si</v>
      </c>
    </row>
    <row r="1050" spans="1:7" ht="12.75" x14ac:dyDescent="0.2">
      <c r="A1050" s="62">
        <f ca="1">IFERROR(__xludf.DUMMYFUNCTION("""COMPUTED_VALUE"""),10080311)</f>
        <v>10080311</v>
      </c>
      <c r="B1050" s="62" t="str">
        <f ca="1">IFERROR(__xludf.DUMMYFUNCTION("""COMPUTED_VALUE"""),"Mirror Clock Alarm Clock Wireless Bluetooth Speaker ")</f>
        <v xml:space="preserve">Mirror Clock Alarm Clock Wireless Bluetooth Speaker </v>
      </c>
      <c r="C1050" s="75">
        <f ca="1">IFERROR(__xludf.DUMMYFUNCTION("""COMPUTED_VALUE"""),59.9)</f>
        <v>59.9</v>
      </c>
      <c r="D1050" s="75">
        <f ca="1">IFERROR(__xludf.DUMMYFUNCTION("""COMPUTED_VALUE"""),0)</f>
        <v>0</v>
      </c>
      <c r="E1050" s="76">
        <f ca="1">IFERROR(__xludf.DUMMYFUNCTION("""COMPUTED_VALUE"""),59.9)</f>
        <v>59.9</v>
      </c>
      <c r="F1050" s="77">
        <f ca="1">IFERROR(__xludf.DUMMYFUNCTION("""COMPUTED_VALUE"""),10080311)</f>
        <v>10080311</v>
      </c>
      <c r="G1050" s="77" t="str">
        <f t="shared" ca="1" si="4"/>
        <v>si</v>
      </c>
    </row>
    <row r="1051" spans="1:7" ht="12.75" x14ac:dyDescent="0.2">
      <c r="A1051" s="62">
        <f ca="1">IFERROR(__xludf.DUMMYFUNCTION("""COMPUTED_VALUE"""),10080012)</f>
        <v>10080012</v>
      </c>
      <c r="B1051" s="62"/>
      <c r="C1051" s="62"/>
      <c r="D1051" s="62"/>
      <c r="E1051" s="57"/>
      <c r="F1051" s="77">
        <f ca="1">IFERROR(__xludf.DUMMYFUNCTION("""COMPUTED_VALUE"""),10080012)</f>
        <v>10080012</v>
      </c>
      <c r="G1051" s="77" t="str">
        <f t="shared" ca="1" si="4"/>
        <v>si</v>
      </c>
    </row>
    <row r="1052" spans="1:7" ht="12.75" x14ac:dyDescent="0.2">
      <c r="A1052" s="62">
        <f ca="1">IFERROR(__xludf.DUMMYFUNCTION("""COMPUTED_VALUE"""),10080034)</f>
        <v>10080034</v>
      </c>
      <c r="B1052" s="62" t="str">
        <f ca="1">IFERROR(__xludf.DUMMYFUNCTION("""COMPUTED_VALUE"""),"Lightning Splitter")</f>
        <v>Lightning Splitter</v>
      </c>
      <c r="C1052" s="75">
        <f ca="1">IFERROR(__xludf.DUMMYFUNCTION("""COMPUTED_VALUE"""),10)</f>
        <v>10</v>
      </c>
      <c r="D1052" s="75">
        <f ca="1">IFERROR(__xludf.DUMMYFUNCTION("""COMPUTED_VALUE"""),0)</f>
        <v>0</v>
      </c>
      <c r="E1052" s="76">
        <f ca="1">IFERROR(__xludf.DUMMYFUNCTION("""COMPUTED_VALUE"""),10)</f>
        <v>10</v>
      </c>
      <c r="F1052" s="77">
        <f ca="1">IFERROR(__xludf.DUMMYFUNCTION("""COMPUTED_VALUE"""),10080034)</f>
        <v>10080034</v>
      </c>
      <c r="G1052" s="77" t="str">
        <f t="shared" ca="1" si="4"/>
        <v>si</v>
      </c>
    </row>
    <row r="1053" spans="1:7" ht="12.75" x14ac:dyDescent="0.2">
      <c r="A1053" s="62"/>
      <c r="B1053" s="62"/>
      <c r="C1053" s="62"/>
      <c r="D1053" s="62"/>
      <c r="E1053" s="57"/>
      <c r="F1053" s="77"/>
      <c r="G1053" s="77" t="str">
        <f t="shared" si="4"/>
        <v>si</v>
      </c>
    </row>
    <row r="1054" spans="1:7" ht="12.75" x14ac:dyDescent="0.2">
      <c r="A1054" s="62"/>
      <c r="B1054" s="62"/>
      <c r="C1054" s="62"/>
      <c r="D1054" s="62"/>
      <c r="E1054" s="57"/>
      <c r="F1054" s="77"/>
      <c r="G1054" s="77" t="str">
        <f t="shared" si="4"/>
        <v>si</v>
      </c>
    </row>
    <row r="1055" spans="1:7" ht="12.75" x14ac:dyDescent="0.2">
      <c r="A1055" s="62">
        <f ca="1">IFERROR(__xludf.DUMMYFUNCTION("""COMPUTED_VALUE"""),20130007)</f>
        <v>20130007</v>
      </c>
      <c r="B1055" s="62" t="str">
        <f ca="1">IFERROR(__xludf.DUMMYFUNCTION("""COMPUTED_VALUE"""),"Caja para Disco Duro Externo Caddy 3.0")</f>
        <v>Caja para Disco Duro Externo Caddy 3.0</v>
      </c>
      <c r="C1055" s="75">
        <f ca="1">IFERROR(__xludf.DUMMYFUNCTION("""COMPUTED_VALUE"""),40)</f>
        <v>40</v>
      </c>
      <c r="D1055" s="75">
        <f ca="1">IFERROR(__xludf.DUMMYFUNCTION("""COMPUTED_VALUE"""),0)</f>
        <v>0</v>
      </c>
      <c r="E1055" s="76">
        <f ca="1">IFERROR(__xludf.DUMMYFUNCTION("""COMPUTED_VALUE"""),40)</f>
        <v>40</v>
      </c>
      <c r="F1055" s="77">
        <f ca="1">IFERROR(__xludf.DUMMYFUNCTION("""COMPUTED_VALUE"""),20130007)</f>
        <v>20130007</v>
      </c>
      <c r="G1055" s="77" t="str">
        <f t="shared" ca="1" si="4"/>
        <v>si</v>
      </c>
    </row>
    <row r="1056" spans="1:7" ht="12.75" x14ac:dyDescent="0.2">
      <c r="A1056" s="62">
        <f ca="1">IFERROR(__xludf.DUMMYFUNCTION("""COMPUTED_VALUE"""),10160009)</f>
        <v>10160009</v>
      </c>
      <c r="B1056" s="62" t="str">
        <f ca="1">IFERROR(__xludf.DUMMYFUNCTION("""COMPUTED_VALUE"""),"Boton Home Iphone 7/7p/8/8p")</f>
        <v>Boton Home Iphone 7/7p/8/8p</v>
      </c>
      <c r="C1056" s="75">
        <f ca="1">IFERROR(__xludf.DUMMYFUNCTION("""COMPUTED_VALUE"""),140)</f>
        <v>140</v>
      </c>
      <c r="D1056" s="75">
        <f ca="1">IFERROR(__xludf.DUMMYFUNCTION("""COMPUTED_VALUE"""),30)</f>
        <v>30</v>
      </c>
      <c r="E1056" s="76">
        <f ca="1">IFERROR(__xludf.DUMMYFUNCTION("""COMPUTED_VALUE"""),170)</f>
        <v>170</v>
      </c>
      <c r="F1056" s="77">
        <f ca="1">IFERROR(__xludf.DUMMYFUNCTION("""COMPUTED_VALUE"""),10160009)</f>
        <v>10160009</v>
      </c>
      <c r="G1056" s="77" t="str">
        <f t="shared" ca="1" si="4"/>
        <v>si</v>
      </c>
    </row>
    <row r="1057" spans="1:7" ht="12.75" x14ac:dyDescent="0.2">
      <c r="A1057" s="62">
        <f ca="1">IFERROR(__xludf.DUMMYFUNCTION("""COMPUTED_VALUE"""),10080041)</f>
        <v>10080041</v>
      </c>
      <c r="B1057" s="62" t="str">
        <f ca="1">IFERROR(__xludf.DUMMYFUNCTION("""COMPUTED_VALUE"""),"Pencil Generico ")</f>
        <v xml:space="preserve">Pencil Generico </v>
      </c>
      <c r="C1057" s="75">
        <f ca="1">IFERROR(__xludf.DUMMYFUNCTION("""COMPUTED_VALUE"""),140)</f>
        <v>140</v>
      </c>
      <c r="D1057" s="75">
        <f ca="1">IFERROR(__xludf.DUMMYFUNCTION("""COMPUTED_VALUE"""),0)</f>
        <v>0</v>
      </c>
      <c r="E1057" s="76">
        <f ca="1">IFERROR(__xludf.DUMMYFUNCTION("""COMPUTED_VALUE"""),140)</f>
        <v>140</v>
      </c>
      <c r="F1057" s="77">
        <f ca="1">IFERROR(__xludf.DUMMYFUNCTION("""COMPUTED_VALUE"""),10080041)</f>
        <v>10080041</v>
      </c>
      <c r="G1057" s="77" t="str">
        <f t="shared" ca="1" si="4"/>
        <v>si</v>
      </c>
    </row>
    <row r="1058" spans="1:7" ht="12.75" x14ac:dyDescent="0.2">
      <c r="A1058" s="62">
        <f ca="1">IFERROR(__xludf.DUMMYFUNCTION("""COMPUTED_VALUE"""),10050004)</f>
        <v>10050004</v>
      </c>
      <c r="B1058" s="62" t="str">
        <f ca="1">IFERROR(__xludf.DUMMYFUNCTION("""COMPUTED_VALUE"""),"Case Iphone X, Xr, Xs max, 11, 11pro, 11promax ")</f>
        <v xml:space="preserve">Case Iphone X, Xr, Xs max, 11, 11pro, 11promax </v>
      </c>
      <c r="C1058" s="75">
        <f ca="1">IFERROR(__xludf.DUMMYFUNCTION("""COMPUTED_VALUE"""),15)</f>
        <v>15</v>
      </c>
      <c r="D1058" s="75">
        <f ca="1">IFERROR(__xludf.DUMMYFUNCTION("""COMPUTED_VALUE"""),0)</f>
        <v>0</v>
      </c>
      <c r="E1058" s="76">
        <f ca="1">IFERROR(__xludf.DUMMYFUNCTION("""COMPUTED_VALUE"""),15)</f>
        <v>15</v>
      </c>
      <c r="F1058" s="77">
        <f ca="1">IFERROR(__xludf.DUMMYFUNCTION("""COMPUTED_VALUE"""),10050004)</f>
        <v>10050004</v>
      </c>
      <c r="G1058" s="77" t="str">
        <f t="shared" ca="1" si="4"/>
        <v>si</v>
      </c>
    </row>
    <row r="1059" spans="1:7" ht="12.75" x14ac:dyDescent="0.2">
      <c r="A1059" s="62">
        <f ca="1">IFERROR(__xludf.DUMMYFUNCTION("""COMPUTED_VALUE"""),10080048)</f>
        <v>10080048</v>
      </c>
      <c r="B1059" s="62" t="str">
        <f ca="1">IFERROR(__xludf.DUMMYFUNCTION("""COMPUTED_VALUE"""),"Selfie Xiaomi")</f>
        <v>Selfie Xiaomi</v>
      </c>
      <c r="C1059" s="75">
        <f ca="1">IFERROR(__xludf.DUMMYFUNCTION("""COMPUTED_VALUE"""),40)</f>
        <v>40</v>
      </c>
      <c r="D1059" s="75">
        <f ca="1">IFERROR(__xludf.DUMMYFUNCTION("""COMPUTED_VALUE"""),0)</f>
        <v>0</v>
      </c>
      <c r="E1059" s="76">
        <f ca="1">IFERROR(__xludf.DUMMYFUNCTION("""COMPUTED_VALUE"""),40)</f>
        <v>40</v>
      </c>
      <c r="F1059" s="77">
        <f ca="1">IFERROR(__xludf.DUMMYFUNCTION("""COMPUTED_VALUE"""),10080048)</f>
        <v>10080048</v>
      </c>
      <c r="G1059" s="77" t="str">
        <f t="shared" ca="1" si="4"/>
        <v>si</v>
      </c>
    </row>
    <row r="1060" spans="1:7" ht="12.75" x14ac:dyDescent="0.2">
      <c r="A1060" s="62">
        <f ca="1">IFERROR(__xludf.DUMMYFUNCTION("""COMPUTED_VALUE"""),10080046)</f>
        <v>10080046</v>
      </c>
      <c r="B1060" s="62" t="str">
        <f ca="1">IFERROR(__xludf.DUMMYFUNCTION("""COMPUTED_VALUE"""),"Selfie L03")</f>
        <v>Selfie L03</v>
      </c>
      <c r="C1060" s="75">
        <f ca="1">IFERROR(__xludf.DUMMYFUNCTION("""COMPUTED_VALUE"""),10)</f>
        <v>10</v>
      </c>
      <c r="D1060" s="75">
        <f ca="1">IFERROR(__xludf.DUMMYFUNCTION("""COMPUTED_VALUE"""),0)</f>
        <v>0</v>
      </c>
      <c r="E1060" s="76">
        <f ca="1">IFERROR(__xludf.DUMMYFUNCTION("""COMPUTED_VALUE"""),10)</f>
        <v>10</v>
      </c>
      <c r="F1060" s="77">
        <f ca="1">IFERROR(__xludf.DUMMYFUNCTION("""COMPUTED_VALUE"""),10080046)</f>
        <v>10080046</v>
      </c>
      <c r="G1060" s="77" t="str">
        <f t="shared" ca="1" si="4"/>
        <v>si</v>
      </c>
    </row>
    <row r="1061" spans="1:7" ht="12.75" x14ac:dyDescent="0.2">
      <c r="A1061" s="62">
        <f ca="1">IFERROR(__xludf.DUMMYFUNCTION("""COMPUTED_VALUE"""),10080024)</f>
        <v>10080024</v>
      </c>
      <c r="B1061" s="62"/>
      <c r="C1061" s="62"/>
      <c r="D1061" s="62"/>
      <c r="E1061" s="57"/>
      <c r="F1061" s="77">
        <f ca="1">IFERROR(__xludf.DUMMYFUNCTION("""COMPUTED_VALUE"""),10080024)</f>
        <v>10080024</v>
      </c>
      <c r="G1061" s="77" t="str">
        <f t="shared" ca="1" si="4"/>
        <v>si</v>
      </c>
    </row>
    <row r="1062" spans="1:7" ht="12.75" x14ac:dyDescent="0.2">
      <c r="A1062" s="62">
        <f ca="1">IFERROR(__xludf.DUMMYFUNCTION("""COMPUTED_VALUE"""),20130026)</f>
        <v>20130026</v>
      </c>
      <c r="B1062" s="62" t="str">
        <f ca="1">IFERROR(__xludf.DUMMYFUNCTION("""COMPUTED_VALUE"""),"Adaptador Expansion Laptop para Celular")</f>
        <v>Adaptador Expansion Laptop para Celular</v>
      </c>
      <c r="C1062" s="75">
        <f ca="1">IFERROR(__xludf.DUMMYFUNCTION("""COMPUTED_VALUE"""),30)</f>
        <v>30</v>
      </c>
      <c r="D1062" s="75">
        <f ca="1">IFERROR(__xludf.DUMMYFUNCTION("""COMPUTED_VALUE"""),0)</f>
        <v>0</v>
      </c>
      <c r="E1062" s="76">
        <f ca="1">IFERROR(__xludf.DUMMYFUNCTION("""COMPUTED_VALUE"""),30)</f>
        <v>30</v>
      </c>
      <c r="F1062" s="77">
        <f ca="1">IFERROR(__xludf.DUMMYFUNCTION("""COMPUTED_VALUE"""),20130026)</f>
        <v>20130026</v>
      </c>
      <c r="G1062" s="77" t="str">
        <f t="shared" ca="1" si="4"/>
        <v>si</v>
      </c>
    </row>
    <row r="1063" spans="1:7" ht="12.75" x14ac:dyDescent="0.2">
      <c r="A1063" s="62">
        <f ca="1">IFERROR(__xludf.DUMMYFUNCTION("""COMPUTED_VALUE"""),20130027)</f>
        <v>20130027</v>
      </c>
      <c r="B1063" s="62" t="str">
        <f ca="1">IFERROR(__xludf.DUMMYFUNCTION("""COMPUTED_VALUE"""),"Stand Wirelles Magnetico ")</f>
        <v xml:space="preserve">Stand Wirelles Magnetico </v>
      </c>
      <c r="C1063" s="75">
        <f ca="1">IFERROR(__xludf.DUMMYFUNCTION("""COMPUTED_VALUE"""),30)</f>
        <v>30</v>
      </c>
      <c r="D1063" s="75">
        <f ca="1">IFERROR(__xludf.DUMMYFUNCTION("""COMPUTED_VALUE"""),0)</f>
        <v>0</v>
      </c>
      <c r="E1063" s="76">
        <f ca="1">IFERROR(__xludf.DUMMYFUNCTION("""COMPUTED_VALUE"""),30)</f>
        <v>30</v>
      </c>
      <c r="F1063" s="77">
        <f ca="1">IFERROR(__xludf.DUMMYFUNCTION("""COMPUTED_VALUE"""),20130027)</f>
        <v>20130027</v>
      </c>
      <c r="G1063" s="77" t="str">
        <f t="shared" ca="1" si="4"/>
        <v>si</v>
      </c>
    </row>
    <row r="1064" spans="1:7" ht="12.75" x14ac:dyDescent="0.2">
      <c r="A1064" s="62">
        <f ca="1">IFERROR(__xludf.DUMMYFUNCTION("""COMPUTED_VALUE"""),20200006)</f>
        <v>20200006</v>
      </c>
      <c r="B1064" s="62" t="str">
        <f ca="1">IFERROR(__xludf.DUMMYFUNCTION("""COMPUTED_VALUE"""),"Mouse inalambrico importado Recargable")</f>
        <v>Mouse inalambrico importado Recargable</v>
      </c>
      <c r="C1064" s="75">
        <f ca="1">IFERROR(__xludf.DUMMYFUNCTION("""COMPUTED_VALUE"""),30)</f>
        <v>30</v>
      </c>
      <c r="D1064" s="75">
        <f ca="1">IFERROR(__xludf.DUMMYFUNCTION("""COMPUTED_VALUE"""),0)</f>
        <v>0</v>
      </c>
      <c r="E1064" s="76">
        <f ca="1">IFERROR(__xludf.DUMMYFUNCTION("""COMPUTED_VALUE"""),30)</f>
        <v>30</v>
      </c>
      <c r="F1064" s="77">
        <f ca="1">IFERROR(__xludf.DUMMYFUNCTION("""COMPUTED_VALUE"""),20200006)</f>
        <v>20200006</v>
      </c>
      <c r="G1064" s="77" t="str">
        <f t="shared" ca="1" si="4"/>
        <v>si</v>
      </c>
    </row>
    <row r="1065" spans="1:7" ht="12.75" x14ac:dyDescent="0.2">
      <c r="A1065" s="62">
        <f ca="1">IFERROR(__xludf.DUMMYFUNCTION("""COMPUTED_VALUE"""),10050005)</f>
        <v>10050005</v>
      </c>
      <c r="B1065" s="62" t="str">
        <f ca="1">IFERROR(__xludf.DUMMYFUNCTION("""COMPUTED_VALUE"""),"Case Mac air 2018,2019 y 2020 Pro A1706 /a1708 A1989 A2159 - 2020")</f>
        <v>Case Mac air 2018,2019 y 2020 Pro A1706 /a1708 A1989 A2159 - 2020</v>
      </c>
      <c r="C1065" s="75">
        <f ca="1">IFERROR(__xludf.DUMMYFUNCTION("""COMPUTED_VALUE"""),30)</f>
        <v>30</v>
      </c>
      <c r="D1065" s="75">
        <f ca="1">IFERROR(__xludf.DUMMYFUNCTION("""COMPUTED_VALUE"""),0)</f>
        <v>0</v>
      </c>
      <c r="E1065" s="76">
        <f ca="1">IFERROR(__xludf.DUMMYFUNCTION("""COMPUTED_VALUE"""),30)</f>
        <v>30</v>
      </c>
      <c r="F1065" s="77">
        <f ca="1">IFERROR(__xludf.DUMMYFUNCTION("""COMPUTED_VALUE"""),10050005)</f>
        <v>10050005</v>
      </c>
      <c r="G1065" s="77" t="str">
        <f t="shared" ca="1" si="4"/>
        <v>si</v>
      </c>
    </row>
    <row r="1066" spans="1:7" ht="12.75" x14ac:dyDescent="0.2">
      <c r="A1066" s="62">
        <f ca="1">IFERROR(__xludf.DUMMYFUNCTION("""COMPUTED_VALUE"""),10030004)</f>
        <v>10030004</v>
      </c>
      <c r="B1066" s="62"/>
      <c r="C1066" s="62"/>
      <c r="D1066" s="62"/>
      <c r="E1066" s="57"/>
      <c r="F1066" s="77">
        <f ca="1">IFERROR(__xludf.DUMMYFUNCTION("""COMPUTED_VALUE"""),10030004)</f>
        <v>10030004</v>
      </c>
      <c r="G1066" s="77" t="str">
        <f t="shared" ca="1" si="4"/>
        <v>si</v>
      </c>
    </row>
    <row r="1067" spans="1:7" ht="12.75" x14ac:dyDescent="0.2">
      <c r="A1067" s="62">
        <f ca="1">IFERROR(__xludf.DUMMYFUNCTION("""COMPUTED_VALUE"""),10080047)</f>
        <v>10080047</v>
      </c>
      <c r="B1067" s="62"/>
      <c r="C1067" s="62"/>
      <c r="D1067" s="62"/>
      <c r="E1067" s="57"/>
      <c r="F1067" s="77">
        <f ca="1">IFERROR(__xludf.DUMMYFUNCTION("""COMPUTED_VALUE"""),10080047)</f>
        <v>10080047</v>
      </c>
      <c r="G1067" s="77" t="str">
        <f t="shared" ca="1" si="4"/>
        <v>si</v>
      </c>
    </row>
    <row r="1068" spans="1:7" ht="12.75" x14ac:dyDescent="0.2">
      <c r="A1068" s="62">
        <f ca="1">IFERROR(__xludf.DUMMYFUNCTION("""COMPUTED_VALUE"""),10160054)</f>
        <v>10160054</v>
      </c>
      <c r="B1068" s="62" t="str">
        <f ca="1">IFERROR(__xludf.DUMMYFUNCTION("""COMPUTED_VALUE"""),"Cable Iphone + Tipo C 2 Metros")</f>
        <v>Cable Iphone + Tipo C 2 Metros</v>
      </c>
      <c r="C1068" s="75">
        <f ca="1">IFERROR(__xludf.DUMMYFUNCTION("""COMPUTED_VALUE"""),50)</f>
        <v>50</v>
      </c>
      <c r="D1068" s="75">
        <f ca="1">IFERROR(__xludf.DUMMYFUNCTION("""COMPUTED_VALUE"""),0)</f>
        <v>0</v>
      </c>
      <c r="E1068" s="76">
        <f ca="1">IFERROR(__xludf.DUMMYFUNCTION("""COMPUTED_VALUE"""),50)</f>
        <v>50</v>
      </c>
      <c r="F1068" s="77">
        <f ca="1">IFERROR(__xludf.DUMMYFUNCTION("""COMPUTED_VALUE"""),10160054)</f>
        <v>10160054</v>
      </c>
      <c r="G1068" s="77" t="str">
        <f t="shared" ca="1" si="4"/>
        <v>si</v>
      </c>
    </row>
    <row r="1069" spans="1:7" ht="12.75" x14ac:dyDescent="0.2">
      <c r="A1069" s="62">
        <f ca="1">IFERROR(__xludf.DUMMYFUNCTION("""COMPUTED_VALUE"""),10080045)</f>
        <v>10080045</v>
      </c>
      <c r="B1069" s="62" t="str">
        <f ca="1">IFERROR(__xludf.DUMMYFUNCTION("""COMPUTED_VALUE"""),"Cable Tipo C 2 Metros")</f>
        <v>Cable Tipo C 2 Metros</v>
      </c>
      <c r="C1069" s="75">
        <f ca="1">IFERROR(__xludf.DUMMYFUNCTION("""COMPUTED_VALUE"""),50)</f>
        <v>50</v>
      </c>
      <c r="D1069" s="75">
        <f ca="1">IFERROR(__xludf.DUMMYFUNCTION("""COMPUTED_VALUE"""),0)</f>
        <v>0</v>
      </c>
      <c r="E1069" s="76">
        <f ca="1">IFERROR(__xludf.DUMMYFUNCTION("""COMPUTED_VALUE"""),50)</f>
        <v>50</v>
      </c>
      <c r="F1069" s="77">
        <f ca="1">IFERROR(__xludf.DUMMYFUNCTION("""COMPUTED_VALUE"""),10080045)</f>
        <v>10080045</v>
      </c>
      <c r="G1069" s="77" t="str">
        <f t="shared" ca="1" si="4"/>
        <v>si</v>
      </c>
    </row>
    <row r="1070" spans="1:7" ht="12.75" x14ac:dyDescent="0.2">
      <c r="A1070" s="62">
        <f ca="1">IFERROR(__xludf.DUMMYFUNCTION("""COMPUTED_VALUE"""),10110023)</f>
        <v>10110023</v>
      </c>
      <c r="B1070" s="62" t="str">
        <f ca="1">IFERROR(__xludf.DUMMYFUNCTION("""COMPUTED_VALUE"""),"Cable Iphone 2 Metros")</f>
        <v>Cable Iphone 2 Metros</v>
      </c>
      <c r="C1070" s="75">
        <f ca="1">IFERROR(__xludf.DUMMYFUNCTION("""COMPUTED_VALUE"""),50)</f>
        <v>50</v>
      </c>
      <c r="D1070" s="75">
        <f ca="1">IFERROR(__xludf.DUMMYFUNCTION("""COMPUTED_VALUE"""),0)</f>
        <v>0</v>
      </c>
      <c r="E1070" s="76">
        <f ca="1">IFERROR(__xludf.DUMMYFUNCTION("""COMPUTED_VALUE"""),50)</f>
        <v>50</v>
      </c>
      <c r="F1070" s="77">
        <f ca="1">IFERROR(__xludf.DUMMYFUNCTION("""COMPUTED_VALUE"""),10110023)</f>
        <v>10110023</v>
      </c>
      <c r="G1070" s="77" t="str">
        <f t="shared" ca="1" si="4"/>
        <v>si</v>
      </c>
    </row>
    <row r="1071" spans="1:7" ht="12.75" x14ac:dyDescent="0.2">
      <c r="A1071" s="62">
        <f ca="1">IFERROR(__xludf.DUMMYFUNCTION("""COMPUTED_VALUE"""),20100002)</f>
        <v>20100002</v>
      </c>
      <c r="B1071" s="62" t="str">
        <f ca="1">IFERROR(__xludf.DUMMYFUNCTION("""COMPUTED_VALUE"""),"Caja USB 3.1 Type C to M.2 NGFF SSD B-Key SATA  6Gbps")</f>
        <v>Caja USB 3.1 Type C to M.2 NGFF SSD B-Key SATA  6Gbps</v>
      </c>
      <c r="C1071" s="75">
        <f ca="1">IFERROR(__xludf.DUMMYFUNCTION("""COMPUTED_VALUE"""),50)</f>
        <v>50</v>
      </c>
      <c r="D1071" s="75">
        <f ca="1">IFERROR(__xludf.DUMMYFUNCTION("""COMPUTED_VALUE"""),0)</f>
        <v>0</v>
      </c>
      <c r="E1071" s="76">
        <f ca="1">IFERROR(__xludf.DUMMYFUNCTION("""COMPUTED_VALUE"""),50)</f>
        <v>50</v>
      </c>
      <c r="F1071" s="77">
        <f ca="1">IFERROR(__xludf.DUMMYFUNCTION("""COMPUTED_VALUE"""),20100002)</f>
        <v>20100002</v>
      </c>
      <c r="G1071" s="77" t="str">
        <f t="shared" ca="1" si="4"/>
        <v>si</v>
      </c>
    </row>
    <row r="1072" spans="1:7" ht="12.75" x14ac:dyDescent="0.2">
      <c r="A1072" s="62">
        <f ca="1">IFERROR(__xludf.DUMMYFUNCTION("""COMPUTED_VALUE"""),10030005)</f>
        <v>10030005</v>
      </c>
      <c r="B1072" s="62" t="str">
        <f ca="1">IFERROR(__xludf.DUMMYFUNCTION("""COMPUTED_VALUE"""),"5Gbps Micro USB 3.0 (60530)")</f>
        <v>5Gbps Micro USB 3.0 (60530)</v>
      </c>
      <c r="C1072" s="75">
        <f ca="1">IFERROR(__xludf.DUMMYFUNCTION("""COMPUTED_VALUE"""),100)</f>
        <v>100</v>
      </c>
      <c r="D1072" s="75">
        <f ca="1">IFERROR(__xludf.DUMMYFUNCTION("""COMPUTED_VALUE"""),0)</f>
        <v>0</v>
      </c>
      <c r="E1072" s="76">
        <f ca="1">IFERROR(__xludf.DUMMYFUNCTION("""COMPUTED_VALUE"""),100)</f>
        <v>100</v>
      </c>
      <c r="F1072" s="77">
        <f ca="1">IFERROR(__xludf.DUMMYFUNCTION("""COMPUTED_VALUE"""),10030005)</f>
        <v>10030005</v>
      </c>
      <c r="G1072" s="77" t="str">
        <f t="shared" ca="1" si="4"/>
        <v>si</v>
      </c>
    </row>
    <row r="1073" spans="1:7" ht="12.75" x14ac:dyDescent="0.2">
      <c r="A1073" s="62">
        <f ca="1">IFERROR(__xludf.DUMMYFUNCTION("""COMPUTED_VALUE"""),10030003)</f>
        <v>10030003</v>
      </c>
      <c r="B1073" s="62" t="str">
        <f ca="1">IFERROR(__xludf.DUMMYFUNCTION("""COMPUTED_VALUE"""),"Protector de Cables de Cargadores")</f>
        <v>Protector de Cables de Cargadores</v>
      </c>
      <c r="C1073" s="75">
        <f ca="1">IFERROR(__xludf.DUMMYFUNCTION("""COMPUTED_VALUE"""),5)</f>
        <v>5</v>
      </c>
      <c r="D1073" s="75">
        <f ca="1">IFERROR(__xludf.DUMMYFUNCTION("""COMPUTED_VALUE"""),0)</f>
        <v>0</v>
      </c>
      <c r="E1073" s="76">
        <f ca="1">IFERROR(__xludf.DUMMYFUNCTION("""COMPUTED_VALUE"""),5)</f>
        <v>5</v>
      </c>
      <c r="F1073" s="77">
        <f ca="1">IFERROR(__xludf.DUMMYFUNCTION("""COMPUTED_VALUE"""),10030003)</f>
        <v>10030003</v>
      </c>
      <c r="G1073" s="77" t="str">
        <f t="shared" ca="1" si="4"/>
        <v>si</v>
      </c>
    </row>
    <row r="1074" spans="1:7" ht="12.75" x14ac:dyDescent="0.2">
      <c r="A1074" s="62">
        <f ca="1">IFERROR(__xludf.DUMMYFUNCTION("""COMPUTED_VALUE"""),10120007)</f>
        <v>10120007</v>
      </c>
      <c r="B1074" s="62" t="str">
        <f ca="1">IFERROR(__xludf.DUMMYFUNCTION("""COMPUTED_VALUE"""),"Caja disco 2.5 SSD con Clave")</f>
        <v>Caja disco 2.5 SSD con Clave</v>
      </c>
      <c r="C1074" s="75">
        <f ca="1">IFERROR(__xludf.DUMMYFUNCTION("""COMPUTED_VALUE"""),140)</f>
        <v>140</v>
      </c>
      <c r="D1074" s="75">
        <f ca="1">IFERROR(__xludf.DUMMYFUNCTION("""COMPUTED_VALUE"""),0)</f>
        <v>0</v>
      </c>
      <c r="E1074" s="76">
        <f ca="1">IFERROR(__xludf.DUMMYFUNCTION("""COMPUTED_VALUE"""),140)</f>
        <v>140</v>
      </c>
      <c r="F1074" s="77">
        <f ca="1">IFERROR(__xludf.DUMMYFUNCTION("""COMPUTED_VALUE"""),10120007)</f>
        <v>10120007</v>
      </c>
      <c r="G1074" s="77" t="str">
        <f t="shared" ca="1" si="4"/>
        <v>si</v>
      </c>
    </row>
    <row r="1075" spans="1:7" ht="12.75" x14ac:dyDescent="0.2">
      <c r="A1075" s="62">
        <f ca="1">IFERROR(__xludf.DUMMYFUNCTION("""COMPUTED_VALUE"""),10080005)</f>
        <v>10080005</v>
      </c>
      <c r="B1075" s="62" t="str">
        <f ca="1">IFERROR(__xludf.DUMMYFUNCTION("""COMPUTED_VALUE"""),"Adaptador Disco usb 3.1 Tipo C SSD 900M/S")</f>
        <v>Adaptador Disco usb 3.1 Tipo C SSD 900M/S</v>
      </c>
      <c r="C1075" s="75">
        <f ca="1">IFERROR(__xludf.DUMMYFUNCTION("""COMPUTED_VALUE"""),80)</f>
        <v>80</v>
      </c>
      <c r="D1075" s="75">
        <f ca="1">IFERROR(__xludf.DUMMYFUNCTION("""COMPUTED_VALUE"""),0)</f>
        <v>0</v>
      </c>
      <c r="E1075" s="76">
        <f ca="1">IFERROR(__xludf.DUMMYFUNCTION("""COMPUTED_VALUE"""),80)</f>
        <v>80</v>
      </c>
      <c r="F1075" s="77">
        <f ca="1">IFERROR(__xludf.DUMMYFUNCTION("""COMPUTED_VALUE"""),10080005)</f>
        <v>10080005</v>
      </c>
      <c r="G1075" s="77" t="str">
        <f t="shared" ca="1" si="4"/>
        <v>si</v>
      </c>
    </row>
    <row r="1076" spans="1:7" ht="12.75" x14ac:dyDescent="0.2">
      <c r="A1076" s="62">
        <f ca="1">IFERROR(__xludf.DUMMYFUNCTION("""COMPUTED_VALUE"""),10120004)</f>
        <v>10120004</v>
      </c>
      <c r="B1076" s="62" t="str">
        <f ca="1">IFERROR(__xludf.DUMMYFUNCTION("""COMPUTED_VALUE"""),"Adaptador Disco usb 3.1 Tipo C SSD")</f>
        <v>Adaptador Disco usb 3.1 Tipo C SSD</v>
      </c>
      <c r="C1076" s="75">
        <f ca="1">IFERROR(__xludf.DUMMYFUNCTION("""COMPUTED_VALUE"""),130)</f>
        <v>130</v>
      </c>
      <c r="D1076" s="75">
        <f ca="1">IFERROR(__xludf.DUMMYFUNCTION("""COMPUTED_VALUE"""),0)</f>
        <v>0</v>
      </c>
      <c r="E1076" s="76">
        <f ca="1">IFERROR(__xludf.DUMMYFUNCTION("""COMPUTED_VALUE"""),130)</f>
        <v>130</v>
      </c>
      <c r="F1076" s="77">
        <f ca="1">IFERROR(__xludf.DUMMYFUNCTION("""COMPUTED_VALUE"""),10120004)</f>
        <v>10120004</v>
      </c>
      <c r="G1076" s="77" t="str">
        <f t="shared" ca="1" si="4"/>
        <v>si</v>
      </c>
    </row>
    <row r="1077" spans="1:7" ht="12.75" x14ac:dyDescent="0.2">
      <c r="A1077" s="62">
        <f ca="1">IFERROR(__xludf.DUMMYFUNCTION("""COMPUTED_VALUE"""),10120005)</f>
        <v>10120005</v>
      </c>
      <c r="B1077" s="62" t="str">
        <f ca="1">IFERROR(__xludf.DUMMYFUNCTION("""COMPUTED_VALUE"""),"3 in 1 15W wireless charger con Reloj")</f>
        <v>3 in 1 15W wireless charger con Reloj</v>
      </c>
      <c r="C1077" s="75">
        <f ca="1">IFERROR(__xludf.DUMMYFUNCTION("""COMPUTED_VALUE"""),99.9)</f>
        <v>99.9</v>
      </c>
      <c r="D1077" s="75">
        <f ca="1">IFERROR(__xludf.DUMMYFUNCTION("""COMPUTED_VALUE"""),0)</f>
        <v>0</v>
      </c>
      <c r="E1077" s="76">
        <f ca="1">IFERROR(__xludf.DUMMYFUNCTION("""COMPUTED_VALUE"""),99.9)</f>
        <v>99.9</v>
      </c>
      <c r="F1077" s="77">
        <f ca="1">IFERROR(__xludf.DUMMYFUNCTION("""COMPUTED_VALUE"""),10120005)</f>
        <v>10120005</v>
      </c>
      <c r="G1077" s="77" t="str">
        <f t="shared" ca="1" si="4"/>
        <v>si</v>
      </c>
    </row>
    <row r="1078" spans="1:7" ht="12.75" x14ac:dyDescent="0.2">
      <c r="A1078" s="62">
        <f ca="1">IFERROR(__xludf.DUMMYFUNCTION("""COMPUTED_VALUE"""),20100005)</f>
        <v>20100005</v>
      </c>
      <c r="B1078" s="62" t="str">
        <f ca="1">IFERROR(__xludf.DUMMYFUNCTION("""COMPUTED_VALUE"""),"Toma Corriente USB 8 Puertos")</f>
        <v>Toma Corriente USB 8 Puertos</v>
      </c>
      <c r="C1078" s="75">
        <f ca="1">IFERROR(__xludf.DUMMYFUNCTION("""COMPUTED_VALUE"""),80)</f>
        <v>80</v>
      </c>
      <c r="D1078" s="75">
        <f ca="1">IFERROR(__xludf.DUMMYFUNCTION("""COMPUTED_VALUE"""),0)</f>
        <v>0</v>
      </c>
      <c r="E1078" s="76">
        <f ca="1">IFERROR(__xludf.DUMMYFUNCTION("""COMPUTED_VALUE"""),80)</f>
        <v>80</v>
      </c>
      <c r="F1078" s="77">
        <f ca="1">IFERROR(__xludf.DUMMYFUNCTION("""COMPUTED_VALUE"""),20100005)</f>
        <v>20100005</v>
      </c>
      <c r="G1078" s="77" t="str">
        <f t="shared" ca="1" si="4"/>
        <v>si</v>
      </c>
    </row>
    <row r="1079" spans="1:7" ht="12.75" x14ac:dyDescent="0.2">
      <c r="A1079" s="62">
        <f ca="1">IFERROR(__xludf.DUMMYFUNCTION("""COMPUTED_VALUE"""),20100004)</f>
        <v>20100004</v>
      </c>
      <c r="B1079" s="62" t="str">
        <f ca="1">IFERROR(__xludf.DUMMYFUNCTION("""COMPUTED_VALUE"""),"Type-c to 3.5 digital audio adapter cable (quality of life)")</f>
        <v>Type-c to 3.5 digital audio adapter cable (quality of life)</v>
      </c>
      <c r="C1079" s="75">
        <f ca="1">IFERROR(__xludf.DUMMYFUNCTION("""COMPUTED_VALUE"""),10)</f>
        <v>10</v>
      </c>
      <c r="D1079" s="75">
        <f ca="1">IFERROR(__xludf.DUMMYFUNCTION("""COMPUTED_VALUE"""),0)</f>
        <v>0</v>
      </c>
      <c r="E1079" s="76">
        <f ca="1">IFERROR(__xludf.DUMMYFUNCTION("""COMPUTED_VALUE"""),10)</f>
        <v>10</v>
      </c>
      <c r="F1079" s="77">
        <f ca="1">IFERROR(__xludf.DUMMYFUNCTION("""COMPUTED_VALUE"""),20100004)</f>
        <v>20100004</v>
      </c>
      <c r="G1079" s="77" t="str">
        <f t="shared" ca="1" si="4"/>
        <v>si</v>
      </c>
    </row>
    <row r="1080" spans="1:7" ht="12.75" x14ac:dyDescent="0.2">
      <c r="A1080" s="62">
        <f ca="1">IFERROR(__xludf.DUMMYFUNCTION("""COMPUTED_VALUE"""),10080293)</f>
        <v>10080293</v>
      </c>
      <c r="B1080" s="62" t="str">
        <f ca="1">IFERROR(__xludf.DUMMYFUNCTION("""COMPUTED_VALUE"""),"HDMI 4K HD projection hub audio and video 3 in 1 converter")</f>
        <v>HDMI 4K HD projection hub audio and video 3 in 1 converter</v>
      </c>
      <c r="C1080" s="75">
        <f ca="1">IFERROR(__xludf.DUMMYFUNCTION("""COMPUTED_VALUE"""),90)</f>
        <v>90</v>
      </c>
      <c r="D1080" s="75">
        <f ca="1">IFERROR(__xludf.DUMMYFUNCTION("""COMPUTED_VALUE"""),0)</f>
        <v>0</v>
      </c>
      <c r="E1080" s="76">
        <f ca="1">IFERROR(__xludf.DUMMYFUNCTION("""COMPUTED_VALUE"""),90)</f>
        <v>90</v>
      </c>
      <c r="F1080" s="77">
        <f ca="1">IFERROR(__xludf.DUMMYFUNCTION("""COMPUTED_VALUE"""),10080293)</f>
        <v>10080293</v>
      </c>
      <c r="G1080" s="77" t="str">
        <f t="shared" ca="1" si="4"/>
        <v>si</v>
      </c>
    </row>
    <row r="1081" spans="1:7" ht="12.75" x14ac:dyDescent="0.2">
      <c r="A1081" s="62">
        <f ca="1">IFERROR(__xludf.DUMMYFUNCTION("""COMPUTED_VALUE"""),20090003)</f>
        <v>20090003</v>
      </c>
      <c r="B1081" s="62" t="str">
        <f ca="1">IFERROR(__xludf.DUMMYFUNCTION("""COMPUTED_VALUE"""),"4 in 1 wireless charger (Cargador para Celular, Airpods y Watch)")</f>
        <v>4 in 1 wireless charger (Cargador para Celular, Airpods y Watch)</v>
      </c>
      <c r="C1081" s="75">
        <f ca="1">IFERROR(__xludf.DUMMYFUNCTION("""COMPUTED_VALUE"""),80)</f>
        <v>80</v>
      </c>
      <c r="D1081" s="75">
        <f ca="1">IFERROR(__xludf.DUMMYFUNCTION("""COMPUTED_VALUE"""),0)</f>
        <v>0</v>
      </c>
      <c r="E1081" s="76">
        <f ca="1">IFERROR(__xludf.DUMMYFUNCTION("""COMPUTED_VALUE"""),80)</f>
        <v>80</v>
      </c>
      <c r="F1081" s="77">
        <f ca="1">IFERROR(__xludf.DUMMYFUNCTION("""COMPUTED_VALUE"""),20090003)</f>
        <v>20090003</v>
      </c>
      <c r="G1081" s="77" t="str">
        <f t="shared" ca="1" si="4"/>
        <v>si</v>
      </c>
    </row>
    <row r="1082" spans="1:7" ht="12.75" x14ac:dyDescent="0.2">
      <c r="A1082" s="62">
        <f ca="1">IFERROR(__xludf.DUMMYFUNCTION("""COMPUTED_VALUE"""),20090001)</f>
        <v>20090001</v>
      </c>
      <c r="B1082" s="62" t="str">
        <f ca="1">IFERROR(__xludf.DUMMYFUNCTION("""COMPUTED_VALUE"""),"Bamboo wood wireless charger")</f>
        <v>Bamboo wood wireless charger</v>
      </c>
      <c r="C1082" s="75">
        <f ca="1">IFERROR(__xludf.DUMMYFUNCTION("""COMPUTED_VALUE"""),74.9)</f>
        <v>74.900000000000006</v>
      </c>
      <c r="D1082" s="75">
        <f ca="1">IFERROR(__xludf.DUMMYFUNCTION("""COMPUTED_VALUE"""),0)</f>
        <v>0</v>
      </c>
      <c r="E1082" s="76">
        <f ca="1">IFERROR(__xludf.DUMMYFUNCTION("""COMPUTED_VALUE"""),74.9)</f>
        <v>74.900000000000006</v>
      </c>
      <c r="F1082" s="77">
        <f ca="1">IFERROR(__xludf.DUMMYFUNCTION("""COMPUTED_VALUE"""),20090001)</f>
        <v>20090001</v>
      </c>
      <c r="G1082" s="77" t="str">
        <f t="shared" ca="1" si="4"/>
        <v>si</v>
      </c>
    </row>
    <row r="1083" spans="1:7" ht="12.75" x14ac:dyDescent="0.2">
      <c r="A1083" s="62">
        <f ca="1">IFERROR(__xludf.DUMMYFUNCTION("""COMPUTED_VALUE"""),20090004)</f>
        <v>20090004</v>
      </c>
      <c r="B1083" s="62" t="str">
        <f ca="1">IFERROR(__xludf.DUMMYFUNCTION("""COMPUTED_VALUE"""),"6 en 1 wireless charger (Cargador para Celular, Airpods y Watch)")</f>
        <v>6 en 1 wireless charger (Cargador para Celular, Airpods y Watch)</v>
      </c>
      <c r="C1083" s="75">
        <f ca="1">IFERROR(__xludf.DUMMYFUNCTION("""COMPUTED_VALUE"""),90)</f>
        <v>90</v>
      </c>
      <c r="D1083" s="75">
        <f ca="1">IFERROR(__xludf.DUMMYFUNCTION("""COMPUTED_VALUE"""),0)</f>
        <v>0</v>
      </c>
      <c r="E1083" s="76">
        <f ca="1">IFERROR(__xludf.DUMMYFUNCTION("""COMPUTED_VALUE"""),90)</f>
        <v>90</v>
      </c>
      <c r="F1083" s="77">
        <f ca="1">IFERROR(__xludf.DUMMYFUNCTION("""COMPUTED_VALUE"""),20090004)</f>
        <v>20090004</v>
      </c>
      <c r="G1083" s="77" t="str">
        <f t="shared" ca="1" si="4"/>
        <v>si</v>
      </c>
    </row>
    <row r="1084" spans="1:7" ht="12.75" x14ac:dyDescent="0.2">
      <c r="A1084" s="62">
        <f ca="1">IFERROR(__xludf.DUMMYFUNCTION("""COMPUTED_VALUE"""),10010076)</f>
        <v>10010076</v>
      </c>
      <c r="B1084" s="62" t="str">
        <f ca="1">IFERROR(__xludf.DUMMYFUNCTION("""COMPUTED_VALUE"""),"Hub 6 - 1 Para Surface")</f>
        <v>Hub 6 - 1 Para Surface</v>
      </c>
      <c r="C1084" s="75">
        <f ca="1">IFERROR(__xludf.DUMMYFUNCTION("""COMPUTED_VALUE"""),160)</f>
        <v>160</v>
      </c>
      <c r="D1084" s="75">
        <f ca="1">IFERROR(__xludf.DUMMYFUNCTION("""COMPUTED_VALUE"""),0)</f>
        <v>0</v>
      </c>
      <c r="E1084" s="76">
        <f ca="1">IFERROR(__xludf.DUMMYFUNCTION("""COMPUTED_VALUE"""),160)</f>
        <v>160</v>
      </c>
      <c r="F1084" s="77">
        <f ca="1">IFERROR(__xludf.DUMMYFUNCTION("""COMPUTED_VALUE"""),10010076)</f>
        <v>10010076</v>
      </c>
      <c r="G1084" s="77" t="str">
        <f t="shared" ca="1" si="4"/>
        <v>si</v>
      </c>
    </row>
    <row r="1085" spans="1:7" ht="12.75" x14ac:dyDescent="0.2">
      <c r="A1085" s="62">
        <f ca="1">IFERROR(__xludf.DUMMYFUNCTION("""COMPUTED_VALUE"""),10010083)</f>
        <v>10010083</v>
      </c>
      <c r="B1085" s="62" t="str">
        <f ca="1">IFERROR(__xludf.DUMMYFUNCTION("""COMPUTED_VALUE"""),"Hub Tipo Parante C ")</f>
        <v xml:space="preserve">Hub Tipo Parante C </v>
      </c>
      <c r="C1085" s="75">
        <f ca="1">IFERROR(__xludf.DUMMYFUNCTION("""COMPUTED_VALUE"""),260)</f>
        <v>260</v>
      </c>
      <c r="D1085" s="75">
        <f ca="1">IFERROR(__xludf.DUMMYFUNCTION("""COMPUTED_VALUE"""),0)</f>
        <v>0</v>
      </c>
      <c r="E1085" s="76">
        <f ca="1">IFERROR(__xludf.DUMMYFUNCTION("""COMPUTED_VALUE"""),260)</f>
        <v>260</v>
      </c>
      <c r="F1085" s="77">
        <f ca="1">IFERROR(__xludf.DUMMYFUNCTION("""COMPUTED_VALUE"""),10010083)</f>
        <v>10010083</v>
      </c>
      <c r="G1085" s="77" t="str">
        <f t="shared" ca="1" si="4"/>
        <v>si</v>
      </c>
    </row>
    <row r="1086" spans="1:7" ht="12.75" x14ac:dyDescent="0.2">
      <c r="A1086" s="62">
        <f ca="1">IFERROR(__xludf.DUMMYFUNCTION("""COMPUTED_VALUE"""),10010097)</f>
        <v>10010097</v>
      </c>
      <c r="B1086" s="62" t="str">
        <f ca="1">IFERROR(__xludf.DUMMYFUNCTION("""COMPUTED_VALUE"""),"Hub 15 en 1 Tipo C")</f>
        <v>Hub 15 en 1 Tipo C</v>
      </c>
      <c r="C1086" s="75">
        <f ca="1">IFERROR(__xludf.DUMMYFUNCTION("""COMPUTED_VALUE"""),270)</f>
        <v>270</v>
      </c>
      <c r="D1086" s="75">
        <f ca="1">IFERROR(__xludf.DUMMYFUNCTION("""COMPUTED_VALUE"""),0)</f>
        <v>0</v>
      </c>
      <c r="E1086" s="76">
        <f ca="1">IFERROR(__xludf.DUMMYFUNCTION("""COMPUTED_VALUE"""),270)</f>
        <v>270</v>
      </c>
      <c r="F1086" s="77">
        <f ca="1">IFERROR(__xludf.DUMMYFUNCTION("""COMPUTED_VALUE"""),10010097)</f>
        <v>10010097</v>
      </c>
      <c r="G1086" s="77" t="str">
        <f t="shared" ca="1" si="4"/>
        <v>si</v>
      </c>
    </row>
    <row r="1087" spans="1:7" ht="12.75" x14ac:dyDescent="0.2">
      <c r="A1087" s="62">
        <f ca="1">IFERROR(__xludf.DUMMYFUNCTION("""COMPUTED_VALUE"""),10160121)</f>
        <v>10160121</v>
      </c>
      <c r="B1087" s="62" t="str">
        <f ca="1">IFERROR(__xludf.DUMMYFUNCTION("""COMPUTED_VALUE"""),"UGREEN 4 in 1 USB3.0 Hub")</f>
        <v>UGREEN 4 in 1 USB3.0 Hub</v>
      </c>
      <c r="C1087" s="75">
        <f ca="1">IFERROR(__xludf.DUMMYFUNCTION("""COMPUTED_VALUE"""),90)</f>
        <v>90</v>
      </c>
      <c r="D1087" s="75">
        <f ca="1">IFERROR(__xludf.DUMMYFUNCTION("""COMPUTED_VALUE"""),0)</f>
        <v>0</v>
      </c>
      <c r="E1087" s="76">
        <f ca="1">IFERROR(__xludf.DUMMYFUNCTION("""COMPUTED_VALUE"""),90)</f>
        <v>90</v>
      </c>
      <c r="F1087" s="77">
        <f ca="1">IFERROR(__xludf.DUMMYFUNCTION("""COMPUTED_VALUE"""),10160121)</f>
        <v>10160121</v>
      </c>
      <c r="G1087" s="77" t="str">
        <f t="shared" ca="1" si="4"/>
        <v>si</v>
      </c>
    </row>
    <row r="1088" spans="1:7" ht="12.75" x14ac:dyDescent="0.2">
      <c r="A1088" s="62">
        <f ca="1">IFERROR(__xludf.DUMMYFUNCTION("""COMPUTED_VALUE"""),10160102)</f>
        <v>10160102</v>
      </c>
      <c r="B1088" s="62" t="str">
        <f ca="1">IFERROR(__xludf.DUMMYFUNCTION("""COMPUTED_VALUE"""),"Magsafe Billetera Serie 12")</f>
        <v>Magsafe Billetera Serie 12</v>
      </c>
      <c r="C1088" s="75">
        <f ca="1">IFERROR(__xludf.DUMMYFUNCTION("""COMPUTED_VALUE"""),19.9)</f>
        <v>19.899999999999999</v>
      </c>
      <c r="D1088" s="75">
        <f ca="1">IFERROR(__xludf.DUMMYFUNCTION("""COMPUTED_VALUE"""),0)</f>
        <v>0</v>
      </c>
      <c r="E1088" s="76">
        <f ca="1">IFERROR(__xludf.DUMMYFUNCTION("""COMPUTED_VALUE"""),19.9)</f>
        <v>19.899999999999999</v>
      </c>
      <c r="F1088" s="77">
        <f ca="1">IFERROR(__xludf.DUMMYFUNCTION("""COMPUTED_VALUE"""),10160102)</f>
        <v>10160102</v>
      </c>
      <c r="G1088" s="77" t="str">
        <f t="shared" ca="1" si="4"/>
        <v>si</v>
      </c>
    </row>
    <row r="1089" spans="1:7" ht="12.75" x14ac:dyDescent="0.2">
      <c r="A1089" s="62">
        <f ca="1">IFERROR(__xludf.DUMMYFUNCTION("""COMPUTED_VALUE"""),10160059)</f>
        <v>10160059</v>
      </c>
      <c r="B1089" s="62" t="str">
        <f ca="1">IFERROR(__xludf.DUMMYFUNCTION("""COMPUTED_VALUE"""),"Baseus Wireless Charger for iPhone 12 Fast Charge 15W ")</f>
        <v xml:space="preserve">Baseus Wireless Charger for iPhone 12 Fast Charge 15W </v>
      </c>
      <c r="C1089" s="75">
        <f ca="1">IFERROR(__xludf.DUMMYFUNCTION("""COMPUTED_VALUE"""),100)</f>
        <v>100</v>
      </c>
      <c r="D1089" s="75">
        <f ca="1">IFERROR(__xludf.DUMMYFUNCTION("""COMPUTED_VALUE"""),0)</f>
        <v>0</v>
      </c>
      <c r="E1089" s="76">
        <f ca="1">IFERROR(__xludf.DUMMYFUNCTION("""COMPUTED_VALUE"""),100)</f>
        <v>100</v>
      </c>
      <c r="F1089" s="77">
        <f ca="1">IFERROR(__xludf.DUMMYFUNCTION("""COMPUTED_VALUE"""),10160059)</f>
        <v>10160059</v>
      </c>
      <c r="G1089" s="77" t="str">
        <f t="shared" ca="1" si="4"/>
        <v>si</v>
      </c>
    </row>
    <row r="1090" spans="1:7" ht="12.75" x14ac:dyDescent="0.2">
      <c r="A1090" s="62">
        <f ca="1">IFERROR(__xludf.DUMMYFUNCTION("""COMPUTED_VALUE"""),20050027)</f>
        <v>20050027</v>
      </c>
      <c r="B1090" s="62" t="str">
        <f ca="1">IFERROR(__xludf.DUMMYFUNCTION("""COMPUTED_VALUE"""),"For Apple pencil tip 2nd generation ")</f>
        <v xml:space="preserve">For Apple pencil tip 2nd generation </v>
      </c>
      <c r="C1090" s="75">
        <f ca="1">IFERROR(__xludf.DUMMYFUNCTION("""COMPUTED_VALUE"""),30)</f>
        <v>30</v>
      </c>
      <c r="D1090" s="75">
        <f ca="1">IFERROR(__xludf.DUMMYFUNCTION("""COMPUTED_VALUE"""),0)</f>
        <v>0</v>
      </c>
      <c r="E1090" s="76">
        <f ca="1">IFERROR(__xludf.DUMMYFUNCTION("""COMPUTED_VALUE"""),30)</f>
        <v>30</v>
      </c>
      <c r="F1090" s="77">
        <f ca="1">IFERROR(__xludf.DUMMYFUNCTION("""COMPUTED_VALUE"""),20050027)</f>
        <v>20050027</v>
      </c>
      <c r="G1090" s="77" t="str">
        <f t="shared" ca="1" si="4"/>
        <v>si</v>
      </c>
    </row>
    <row r="1091" spans="1:7" ht="12.75" x14ac:dyDescent="0.2">
      <c r="A1091" s="62">
        <f ca="1">IFERROR(__xludf.DUMMYFUNCTION("""COMPUTED_VALUE"""),10160047)</f>
        <v>10160047</v>
      </c>
      <c r="B1091" s="62" t="str">
        <f ca="1">IFERROR(__xludf.DUMMYFUNCTION("""COMPUTED_VALUE"""),"Tarjeta Capturador 60Hz HDMI cable 4K to USB3.0 1080P 60fps")</f>
        <v>Tarjeta Capturador 60Hz HDMI cable 4K to USB3.0 1080P 60fps</v>
      </c>
      <c r="C1091" s="75">
        <f ca="1">IFERROR(__xludf.DUMMYFUNCTION("""COMPUTED_VALUE"""),50)</f>
        <v>50</v>
      </c>
      <c r="D1091" s="75">
        <f ca="1">IFERROR(__xludf.DUMMYFUNCTION("""COMPUTED_VALUE"""),0)</f>
        <v>0</v>
      </c>
      <c r="E1091" s="76">
        <f ca="1">IFERROR(__xludf.DUMMYFUNCTION("""COMPUTED_VALUE"""),50)</f>
        <v>50</v>
      </c>
      <c r="F1091" s="77">
        <f ca="1">IFERROR(__xludf.DUMMYFUNCTION("""COMPUTED_VALUE"""),10160047)</f>
        <v>10160047</v>
      </c>
      <c r="G1091" s="77" t="str">
        <f t="shared" ca="1" si="4"/>
        <v>si</v>
      </c>
    </row>
    <row r="1092" spans="1:7" ht="12.75" x14ac:dyDescent="0.2">
      <c r="A1092" s="62">
        <f ca="1">IFERROR(__xludf.DUMMYFUNCTION("""COMPUTED_VALUE"""),10010386)</f>
        <v>10010386</v>
      </c>
      <c r="B1092" s="62" t="str">
        <f ca="1">IFERROR(__xludf.DUMMYFUNCTION("""COMPUTED_VALUE"""),"Cargador Magsafe")</f>
        <v>Cargador Magsafe</v>
      </c>
      <c r="C1092" s="75">
        <f ca="1">IFERROR(__xludf.DUMMYFUNCTION("""COMPUTED_VALUE"""),40)</f>
        <v>40</v>
      </c>
      <c r="D1092" s="75">
        <f ca="1">IFERROR(__xludf.DUMMYFUNCTION("""COMPUTED_VALUE"""),0)</f>
        <v>0</v>
      </c>
      <c r="E1092" s="76">
        <f ca="1">IFERROR(__xludf.DUMMYFUNCTION("""COMPUTED_VALUE"""),40)</f>
        <v>40</v>
      </c>
      <c r="F1092" s="77">
        <f ca="1">IFERROR(__xludf.DUMMYFUNCTION("""COMPUTED_VALUE"""),10010386)</f>
        <v>10010386</v>
      </c>
      <c r="G1092" s="77" t="str">
        <f t="shared" ca="1" si="4"/>
        <v>si</v>
      </c>
    </row>
    <row r="1093" spans="1:7" ht="12.75" x14ac:dyDescent="0.2">
      <c r="A1093" s="62">
        <f ca="1">IFERROR(__xludf.DUMMYFUNCTION("""COMPUTED_VALUE"""),10110024)</f>
        <v>10110024</v>
      </c>
      <c r="B1093" s="62" t="str">
        <f ca="1">IFERROR(__xludf.DUMMYFUNCTION("""COMPUTED_VALUE"""),"RCA audio cable 1m")</f>
        <v>RCA audio cable 1m</v>
      </c>
      <c r="C1093" s="75">
        <f ca="1">IFERROR(__xludf.DUMMYFUNCTION("""COMPUTED_VALUE"""),10)</f>
        <v>10</v>
      </c>
      <c r="D1093" s="75">
        <f ca="1">IFERROR(__xludf.DUMMYFUNCTION("""COMPUTED_VALUE"""),0)</f>
        <v>0</v>
      </c>
      <c r="E1093" s="76">
        <f ca="1">IFERROR(__xludf.DUMMYFUNCTION("""COMPUTED_VALUE"""),10)</f>
        <v>10</v>
      </c>
      <c r="F1093" s="77">
        <f ca="1">IFERROR(__xludf.DUMMYFUNCTION("""COMPUTED_VALUE"""),10110024)</f>
        <v>10110024</v>
      </c>
      <c r="G1093" s="77" t="str">
        <f t="shared" ca="1" si="4"/>
        <v>si</v>
      </c>
    </row>
    <row r="1094" spans="1:7" ht="12.75" x14ac:dyDescent="0.2">
      <c r="A1094" s="62">
        <f ca="1">IFERROR(__xludf.DUMMYFUNCTION("""COMPUTED_VALUE"""),10010099)</f>
        <v>10010099</v>
      </c>
      <c r="B1094" s="62" t="str">
        <f ca="1">IFERROR(__xludf.DUMMYFUNCTION("""COMPUTED_VALUE"""),"RCA audio cable 3M")</f>
        <v>RCA audio cable 3M</v>
      </c>
      <c r="C1094" s="75">
        <f ca="1">IFERROR(__xludf.DUMMYFUNCTION("""COMPUTED_VALUE"""),20)</f>
        <v>20</v>
      </c>
      <c r="D1094" s="75">
        <f ca="1">IFERROR(__xludf.DUMMYFUNCTION("""COMPUTED_VALUE"""),0)</f>
        <v>0</v>
      </c>
      <c r="E1094" s="76">
        <f ca="1">IFERROR(__xludf.DUMMYFUNCTION("""COMPUTED_VALUE"""),20)</f>
        <v>20</v>
      </c>
      <c r="F1094" s="77">
        <f ca="1">IFERROR(__xludf.DUMMYFUNCTION("""COMPUTED_VALUE"""),10010099)</f>
        <v>10010099</v>
      </c>
      <c r="G1094" s="77" t="str">
        <f t="shared" ca="1" si="4"/>
        <v>si</v>
      </c>
    </row>
    <row r="1095" spans="1:7" ht="12.75" x14ac:dyDescent="0.2">
      <c r="A1095" s="62">
        <f ca="1">IFERROR(__xludf.DUMMYFUNCTION("""COMPUTED_VALUE"""),10090001)</f>
        <v>10090001</v>
      </c>
      <c r="B1095" s="62" t="str">
        <f ca="1">IFERROR(__xludf.DUMMYFUNCTION("""COMPUTED_VALUE"""),"HD to USB 2.0 Capture")</f>
        <v>HD to USB 2.0 Capture</v>
      </c>
      <c r="C1095" s="75">
        <f ca="1">IFERROR(__xludf.DUMMYFUNCTION("""COMPUTED_VALUE"""),50)</f>
        <v>50</v>
      </c>
      <c r="D1095" s="75">
        <f ca="1">IFERROR(__xludf.DUMMYFUNCTION("""COMPUTED_VALUE"""),0)</f>
        <v>0</v>
      </c>
      <c r="E1095" s="76">
        <f ca="1">IFERROR(__xludf.DUMMYFUNCTION("""COMPUTED_VALUE"""),50)</f>
        <v>50</v>
      </c>
      <c r="F1095" s="77">
        <f ca="1">IFERROR(__xludf.DUMMYFUNCTION("""COMPUTED_VALUE"""),10090001)</f>
        <v>10090001</v>
      </c>
      <c r="G1095" s="77" t="str">
        <f t="shared" ca="1" si="4"/>
        <v>si</v>
      </c>
    </row>
    <row r="1096" spans="1:7" ht="12.75" x14ac:dyDescent="0.2">
      <c r="A1096" s="62">
        <f ca="1">IFERROR(__xludf.DUMMYFUNCTION("""COMPUTED_VALUE"""),10080030)</f>
        <v>10080030</v>
      </c>
      <c r="B1096" s="62" t="str">
        <f ca="1">IFERROR(__xludf.DUMMYFUNCTION("""COMPUTED_VALUE"""),"mini DP to HDMI+VGA+DVI+Audio")</f>
        <v>mini DP to HDMI+VGA+DVI+Audio</v>
      </c>
      <c r="C1096" s="75">
        <f ca="1">IFERROR(__xludf.DUMMYFUNCTION("""COMPUTED_VALUE"""),70)</f>
        <v>70</v>
      </c>
      <c r="D1096" s="75">
        <f ca="1">IFERROR(__xludf.DUMMYFUNCTION("""COMPUTED_VALUE"""),0)</f>
        <v>0</v>
      </c>
      <c r="E1096" s="76">
        <f ca="1">IFERROR(__xludf.DUMMYFUNCTION("""COMPUTED_VALUE"""),70)</f>
        <v>70</v>
      </c>
      <c r="F1096" s="77">
        <f ca="1">IFERROR(__xludf.DUMMYFUNCTION("""COMPUTED_VALUE"""),10080030)</f>
        <v>10080030</v>
      </c>
      <c r="G1096" s="77" t="str">
        <f t="shared" ca="1" si="4"/>
        <v>si</v>
      </c>
    </row>
    <row r="1097" spans="1:7" ht="12.75" x14ac:dyDescent="0.2">
      <c r="A1097" s="62">
        <f ca="1">IFERROR(__xludf.DUMMYFUNCTION("""COMPUTED_VALUE"""),10010006)</f>
        <v>10010006</v>
      </c>
      <c r="B1097" s="62" t="str">
        <f ca="1">IFERROR(__xludf.DUMMYFUNCTION("""COMPUTED_VALUE"""),"Mini DP to HDMI Adapter 4K*2K")</f>
        <v>Mini DP to HDMI Adapter 4K*2K</v>
      </c>
      <c r="C1097" s="75">
        <f ca="1">IFERROR(__xludf.DUMMYFUNCTION("""COMPUTED_VALUE"""),30)</f>
        <v>30</v>
      </c>
      <c r="D1097" s="75">
        <f ca="1">IFERROR(__xludf.DUMMYFUNCTION("""COMPUTED_VALUE"""),0)</f>
        <v>0</v>
      </c>
      <c r="E1097" s="76">
        <f ca="1">IFERROR(__xludf.DUMMYFUNCTION("""COMPUTED_VALUE"""),30)</f>
        <v>30</v>
      </c>
      <c r="F1097" s="77">
        <f ca="1">IFERROR(__xludf.DUMMYFUNCTION("""COMPUTED_VALUE"""),10010006)</f>
        <v>10010006</v>
      </c>
      <c r="G1097" s="77" t="str">
        <f t="shared" ca="1" si="4"/>
        <v>si</v>
      </c>
    </row>
    <row r="1098" spans="1:7" ht="12.75" x14ac:dyDescent="0.2">
      <c r="A1098" s="62">
        <f ca="1">IFERROR(__xludf.DUMMYFUNCTION("""COMPUTED_VALUE"""),10020090)</f>
        <v>10020090</v>
      </c>
      <c r="B1098" s="62" t="str">
        <f ca="1">IFERROR(__xludf.DUMMYFUNCTION("""COMPUTED_VALUE"""),"Cargador de Corriente para Auto")</f>
        <v>Cargador de Corriente para Auto</v>
      </c>
      <c r="C1098" s="75">
        <f ca="1">IFERROR(__xludf.DUMMYFUNCTION("""COMPUTED_VALUE"""),139.9)</f>
        <v>139.9</v>
      </c>
      <c r="D1098" s="75">
        <f ca="1">IFERROR(__xludf.DUMMYFUNCTION("""COMPUTED_VALUE"""),0)</f>
        <v>0</v>
      </c>
      <c r="E1098" s="76">
        <f ca="1">IFERROR(__xludf.DUMMYFUNCTION("""COMPUTED_VALUE"""),139.9)</f>
        <v>139.9</v>
      </c>
      <c r="F1098" s="77">
        <f ca="1">IFERROR(__xludf.DUMMYFUNCTION("""COMPUTED_VALUE"""),10020090)</f>
        <v>10020090</v>
      </c>
      <c r="G1098" s="77" t="str">
        <f t="shared" ca="1" si="4"/>
        <v>si</v>
      </c>
    </row>
    <row r="1099" spans="1:7" ht="12.75" x14ac:dyDescent="0.2">
      <c r="A1099" s="62">
        <f ca="1">IFERROR(__xludf.DUMMYFUNCTION("""COMPUTED_VALUE"""),10080304)</f>
        <v>10080304</v>
      </c>
      <c r="B1099" s="62" t="str">
        <f ca="1">IFERROR(__xludf.DUMMYFUNCTION("""COMPUTED_VALUE"""),"M23 TWS  Wireless Bluetooth Headphones ")</f>
        <v xml:space="preserve">M23 TWS  Wireless Bluetooth Headphones </v>
      </c>
      <c r="C1099" s="75">
        <f ca="1">IFERROR(__xludf.DUMMYFUNCTION("""COMPUTED_VALUE"""),80)</f>
        <v>80</v>
      </c>
      <c r="D1099" s="75">
        <f ca="1">IFERROR(__xludf.DUMMYFUNCTION("""COMPUTED_VALUE"""),0)</f>
        <v>0</v>
      </c>
      <c r="E1099" s="76">
        <f ca="1">IFERROR(__xludf.DUMMYFUNCTION("""COMPUTED_VALUE"""),80)</f>
        <v>80</v>
      </c>
      <c r="F1099" s="77">
        <f ca="1">IFERROR(__xludf.DUMMYFUNCTION("""COMPUTED_VALUE"""),10080304)</f>
        <v>10080304</v>
      </c>
      <c r="G1099" s="77" t="str">
        <f t="shared" ca="1" si="4"/>
        <v>si</v>
      </c>
    </row>
    <row r="1100" spans="1:7" ht="12.75" x14ac:dyDescent="0.2">
      <c r="A1100" s="62">
        <f ca="1">IFERROR(__xludf.DUMMYFUNCTION("""COMPUTED_VALUE"""),10080305)</f>
        <v>10080305</v>
      </c>
      <c r="B1100" s="62" t="str">
        <f ca="1">IFERROR(__xludf.DUMMYFUNCTION("""COMPUTED_VALUE"""),"BT earbuds")</f>
        <v>BT earbuds</v>
      </c>
      <c r="C1100" s="75">
        <f ca="1">IFERROR(__xludf.DUMMYFUNCTION("""COMPUTED_VALUE"""),24.9)</f>
        <v>24.9</v>
      </c>
      <c r="D1100" s="75">
        <f ca="1">IFERROR(__xludf.DUMMYFUNCTION("""COMPUTED_VALUE"""),0)</f>
        <v>0</v>
      </c>
      <c r="E1100" s="76">
        <f ca="1">IFERROR(__xludf.DUMMYFUNCTION("""COMPUTED_VALUE"""),24.9)</f>
        <v>24.9</v>
      </c>
      <c r="F1100" s="77">
        <f ca="1">IFERROR(__xludf.DUMMYFUNCTION("""COMPUTED_VALUE"""),10080305)</f>
        <v>10080305</v>
      </c>
      <c r="G1100" s="77" t="str">
        <f t="shared" ca="1" si="4"/>
        <v>si</v>
      </c>
    </row>
    <row r="1101" spans="1:7" ht="12.75" x14ac:dyDescent="0.2">
      <c r="A1101" s="62">
        <f ca="1">IFERROR(__xludf.DUMMYFUNCTION("""COMPUTED_VALUE"""),10080306)</f>
        <v>10080306</v>
      </c>
      <c r="B1101" s="62" t="str">
        <f ca="1">IFERROR(__xludf.DUMMYFUNCTION("""COMPUTED_VALUE"""),"Microphone mobile phone shooting live broadcast")</f>
        <v>Microphone mobile phone shooting live broadcast</v>
      </c>
      <c r="C1101" s="75">
        <f ca="1">IFERROR(__xludf.DUMMYFUNCTION("""COMPUTED_VALUE"""),50)</f>
        <v>50</v>
      </c>
      <c r="D1101" s="75">
        <f ca="1">IFERROR(__xludf.DUMMYFUNCTION("""COMPUTED_VALUE"""),0)</f>
        <v>0</v>
      </c>
      <c r="E1101" s="76">
        <f ca="1">IFERROR(__xludf.DUMMYFUNCTION("""COMPUTED_VALUE"""),50)</f>
        <v>50</v>
      </c>
      <c r="F1101" s="77">
        <f ca="1">IFERROR(__xludf.DUMMYFUNCTION("""COMPUTED_VALUE"""),10080306)</f>
        <v>10080306</v>
      </c>
      <c r="G1101" s="77" t="str">
        <f t="shared" ca="1" si="4"/>
        <v>si</v>
      </c>
    </row>
    <row r="1102" spans="1:7" ht="12.75" x14ac:dyDescent="0.2">
      <c r="A1102" s="62">
        <f ca="1">IFERROR(__xludf.DUMMYFUNCTION("""COMPUTED_VALUE"""),10080307)</f>
        <v>10080307</v>
      </c>
      <c r="B1102" s="62" t="str">
        <f ca="1">IFERROR(__xludf.DUMMYFUNCTION("""COMPUTED_VALUE"""),"Wireless gaming mouse recargable")</f>
        <v>Wireless gaming mouse recargable</v>
      </c>
      <c r="C1102" s="75">
        <f ca="1">IFERROR(__xludf.DUMMYFUNCTION("""COMPUTED_VALUE"""),50)</f>
        <v>50</v>
      </c>
      <c r="D1102" s="75">
        <f ca="1">IFERROR(__xludf.DUMMYFUNCTION("""COMPUTED_VALUE"""),0)</f>
        <v>0</v>
      </c>
      <c r="E1102" s="76">
        <f ca="1">IFERROR(__xludf.DUMMYFUNCTION("""COMPUTED_VALUE"""),50)</f>
        <v>50</v>
      </c>
      <c r="F1102" s="77">
        <f ca="1">IFERROR(__xludf.DUMMYFUNCTION("""COMPUTED_VALUE"""),10080307)</f>
        <v>10080307</v>
      </c>
      <c r="G1102" s="77" t="str">
        <f t="shared" ca="1" si="4"/>
        <v>si</v>
      </c>
    </row>
    <row r="1103" spans="1:7" ht="12.75" x14ac:dyDescent="0.2">
      <c r="A1103" s="62">
        <f ca="1">IFERROR(__xludf.DUMMYFUNCTION("""COMPUTED_VALUE"""),10080308)</f>
        <v>10080308</v>
      </c>
      <c r="B1103" s="62" t="str">
        <f ca="1">IFERROR(__xludf.DUMMYFUNCTION("""COMPUTED_VALUE"""),"Baseus Capacitive pen")</f>
        <v>Baseus Capacitive pen</v>
      </c>
      <c r="C1103" s="75">
        <f ca="1">IFERROR(__xludf.DUMMYFUNCTION("""COMPUTED_VALUE"""),170)</f>
        <v>170</v>
      </c>
      <c r="D1103" s="75">
        <f ca="1">IFERROR(__xludf.DUMMYFUNCTION("""COMPUTED_VALUE"""),0)</f>
        <v>0</v>
      </c>
      <c r="E1103" s="76">
        <f ca="1">IFERROR(__xludf.DUMMYFUNCTION("""COMPUTED_VALUE"""),170)</f>
        <v>170</v>
      </c>
      <c r="F1103" s="77">
        <f ca="1">IFERROR(__xludf.DUMMYFUNCTION("""COMPUTED_VALUE"""),10080308)</f>
        <v>10080308</v>
      </c>
      <c r="G1103" s="77" t="str">
        <f t="shared" ca="1" si="4"/>
        <v>si</v>
      </c>
    </row>
    <row r="1104" spans="1:7" ht="12.75" x14ac:dyDescent="0.2">
      <c r="A1104" s="62">
        <f ca="1">IFERROR(__xludf.DUMMYFUNCTION("""COMPUTED_VALUE"""),10080309)</f>
        <v>10080309</v>
      </c>
      <c r="B1104" s="62" t="str">
        <f ca="1">IFERROR(__xludf.DUMMYFUNCTION("""COMPUTED_VALUE"""),"UGREEN Capacitive pen ")</f>
        <v xml:space="preserve">UGREEN Capacitive pen </v>
      </c>
      <c r="C1104" s="75">
        <f ca="1">IFERROR(__xludf.DUMMYFUNCTION("""COMPUTED_VALUE"""),220)</f>
        <v>220</v>
      </c>
      <c r="D1104" s="75">
        <f ca="1">IFERROR(__xludf.DUMMYFUNCTION("""COMPUTED_VALUE"""),0)</f>
        <v>0</v>
      </c>
      <c r="E1104" s="76">
        <f ca="1">IFERROR(__xludf.DUMMYFUNCTION("""COMPUTED_VALUE"""),220)</f>
        <v>220</v>
      </c>
      <c r="F1104" s="77">
        <f ca="1">IFERROR(__xludf.DUMMYFUNCTION("""COMPUTED_VALUE"""),10080309)</f>
        <v>10080309</v>
      </c>
      <c r="G1104" s="77" t="str">
        <f t="shared" ca="1" si="4"/>
        <v>si</v>
      </c>
    </row>
    <row r="1105" spans="1:7" ht="12.75" x14ac:dyDescent="0.2">
      <c r="A1105" s="62">
        <f ca="1">IFERROR(__xludf.DUMMYFUNCTION("""COMPUTED_VALUE"""),10080310)</f>
        <v>10080310</v>
      </c>
      <c r="B1105" s="62" t="str">
        <f ca="1">IFERROR(__xludf.DUMMYFUNCTION("""COMPUTED_VALUE"""),"Wireless gaming mouse con Pilas")</f>
        <v>Wireless gaming mouse con Pilas</v>
      </c>
      <c r="C1105" s="75">
        <f ca="1">IFERROR(__xludf.DUMMYFUNCTION("""COMPUTED_VALUE"""),30)</f>
        <v>30</v>
      </c>
      <c r="D1105" s="75">
        <f ca="1">IFERROR(__xludf.DUMMYFUNCTION("""COMPUTED_VALUE"""),0)</f>
        <v>0</v>
      </c>
      <c r="E1105" s="76">
        <f ca="1">IFERROR(__xludf.DUMMYFUNCTION("""COMPUTED_VALUE"""),30)</f>
        <v>30</v>
      </c>
      <c r="F1105" s="77">
        <f ca="1">IFERROR(__xludf.DUMMYFUNCTION("""COMPUTED_VALUE"""),10080310)</f>
        <v>10080310</v>
      </c>
      <c r="G1105" s="77" t="str">
        <f t="shared" ca="1" si="4"/>
        <v>si</v>
      </c>
    </row>
    <row r="1106" spans="1:7" ht="12.75" x14ac:dyDescent="0.2">
      <c r="A1106" s="62">
        <f ca="1">IFERROR(__xludf.DUMMYFUNCTION("""COMPUTED_VALUE"""),20130014)</f>
        <v>20130014</v>
      </c>
      <c r="B1106" s="62" t="str">
        <f ca="1">IFERROR(__xludf.DUMMYFUNCTION("""COMPUTED_VALUE"""),"6 USB 50W desktop charger")</f>
        <v>6 USB 50W desktop charger</v>
      </c>
      <c r="C1106" s="75">
        <f ca="1">IFERROR(__xludf.DUMMYFUNCTION("""COMPUTED_VALUE"""),90)</f>
        <v>90</v>
      </c>
      <c r="D1106" s="75">
        <f ca="1">IFERROR(__xludf.DUMMYFUNCTION("""COMPUTED_VALUE"""),0)</f>
        <v>0</v>
      </c>
      <c r="E1106" s="76">
        <f ca="1">IFERROR(__xludf.DUMMYFUNCTION("""COMPUTED_VALUE"""),90)</f>
        <v>90</v>
      </c>
      <c r="F1106" s="77">
        <f ca="1">IFERROR(__xludf.DUMMYFUNCTION("""COMPUTED_VALUE"""),20130014)</f>
        <v>20130014</v>
      </c>
      <c r="G1106" s="77" t="str">
        <f t="shared" ca="1" si="4"/>
        <v>si</v>
      </c>
    </row>
    <row r="1107" spans="1:7" ht="12.75" x14ac:dyDescent="0.2">
      <c r="A1107" s="62">
        <f ca="1">IFERROR(__xludf.DUMMYFUNCTION("""COMPUTED_VALUE"""),20130016)</f>
        <v>20130016</v>
      </c>
      <c r="B1107" s="62" t="str">
        <f ca="1">IFERROR(__xludf.DUMMYFUNCTION("""COMPUTED_VALUE"""),"Car clip for phone or pad")</f>
        <v>Car clip for phone or pad</v>
      </c>
      <c r="C1107" s="75">
        <f ca="1">IFERROR(__xludf.DUMMYFUNCTION("""COMPUTED_VALUE"""),50)</f>
        <v>50</v>
      </c>
      <c r="D1107" s="75">
        <f ca="1">IFERROR(__xludf.DUMMYFUNCTION("""COMPUTED_VALUE"""),0)</f>
        <v>0</v>
      </c>
      <c r="E1107" s="76">
        <f ca="1">IFERROR(__xludf.DUMMYFUNCTION("""COMPUTED_VALUE"""),50)</f>
        <v>50</v>
      </c>
      <c r="F1107" s="77">
        <f ca="1">IFERROR(__xludf.DUMMYFUNCTION("""COMPUTED_VALUE"""),20130016)</f>
        <v>20130016</v>
      </c>
      <c r="G1107" s="77" t="str">
        <f t="shared" ca="1" si="4"/>
        <v>si</v>
      </c>
    </row>
    <row r="1108" spans="1:7" ht="12.75" x14ac:dyDescent="0.2">
      <c r="A1108" s="62">
        <f ca="1">IFERROR(__xludf.DUMMYFUNCTION("""COMPUTED_VALUE"""),10080007)</f>
        <v>10080007</v>
      </c>
      <c r="B1108" s="62" t="str">
        <f ca="1">IFERROR(__xludf.DUMMYFUNCTION("""COMPUTED_VALUE"""),"Car bracket desk")</f>
        <v>Car bracket desk</v>
      </c>
      <c r="C1108" s="75">
        <f ca="1">IFERROR(__xludf.DUMMYFUNCTION("""COMPUTED_VALUE"""),130)</f>
        <v>130</v>
      </c>
      <c r="D1108" s="75">
        <f ca="1">IFERROR(__xludf.DUMMYFUNCTION("""COMPUTED_VALUE"""),0)</f>
        <v>0</v>
      </c>
      <c r="E1108" s="76">
        <f ca="1">IFERROR(__xludf.DUMMYFUNCTION("""COMPUTED_VALUE"""),130)</f>
        <v>130</v>
      </c>
      <c r="F1108" s="77">
        <f ca="1">IFERROR(__xludf.DUMMYFUNCTION("""COMPUTED_VALUE"""),10080007)</f>
        <v>10080007</v>
      </c>
      <c r="G1108" s="77" t="str">
        <f t="shared" ca="1" si="4"/>
        <v>si</v>
      </c>
    </row>
    <row r="1109" spans="1:7" ht="12.75" x14ac:dyDescent="0.2">
      <c r="A1109" s="62">
        <f ca="1">IFERROR(__xludf.DUMMYFUNCTION("""COMPUTED_VALUE"""),10080314)</f>
        <v>10080314</v>
      </c>
      <c r="B1109" s="62" t="str">
        <f ca="1">IFERROR(__xludf.DUMMYFUNCTION("""COMPUTED_VALUE"""),"Laptop stand")</f>
        <v>Laptop stand</v>
      </c>
      <c r="C1109" s="75">
        <f ca="1">IFERROR(__xludf.DUMMYFUNCTION("""COMPUTED_VALUE"""),39.9)</f>
        <v>39.9</v>
      </c>
      <c r="D1109" s="75">
        <f ca="1">IFERROR(__xludf.DUMMYFUNCTION("""COMPUTED_VALUE"""),0)</f>
        <v>0</v>
      </c>
      <c r="E1109" s="76">
        <f ca="1">IFERROR(__xludf.DUMMYFUNCTION("""COMPUTED_VALUE"""),39.9)</f>
        <v>39.9</v>
      </c>
      <c r="F1109" s="77">
        <f ca="1">IFERROR(__xludf.DUMMYFUNCTION("""COMPUTED_VALUE"""),10080314)</f>
        <v>10080314</v>
      </c>
      <c r="G1109" s="77" t="str">
        <f t="shared" ca="1" si="4"/>
        <v>si</v>
      </c>
    </row>
    <row r="1110" spans="1:7" ht="12.75" x14ac:dyDescent="0.2">
      <c r="A1110" s="62">
        <f ca="1">IFERROR(__xludf.DUMMYFUNCTION("""COMPUTED_VALUE"""),10080315)</f>
        <v>10080315</v>
      </c>
      <c r="B1110" s="62" t="str">
        <f ca="1">IFERROR(__xludf.DUMMYFUNCTION("""COMPUTED_VALUE"""),"J10 Auriculares")</f>
        <v>J10 Auriculares</v>
      </c>
      <c r="C1110" s="75">
        <f ca="1">IFERROR(__xludf.DUMMYFUNCTION("""COMPUTED_VALUE"""),60)</f>
        <v>60</v>
      </c>
      <c r="D1110" s="75">
        <f ca="1">IFERROR(__xludf.DUMMYFUNCTION("""COMPUTED_VALUE"""),0)</f>
        <v>0</v>
      </c>
      <c r="E1110" s="76">
        <f ca="1">IFERROR(__xludf.DUMMYFUNCTION("""COMPUTED_VALUE"""),60)</f>
        <v>60</v>
      </c>
      <c r="F1110" s="77">
        <f ca="1">IFERROR(__xludf.DUMMYFUNCTION("""COMPUTED_VALUE"""),10080315)</f>
        <v>10080315</v>
      </c>
      <c r="G1110" s="77" t="str">
        <f t="shared" ca="1" si="4"/>
        <v>si</v>
      </c>
    </row>
    <row r="1111" spans="1:7" ht="12.75" x14ac:dyDescent="0.2">
      <c r="A1111" s="62">
        <f ca="1">IFERROR(__xludf.DUMMYFUNCTION("""COMPUTED_VALUE"""),10080316)</f>
        <v>10080316</v>
      </c>
      <c r="B1111" s="62" t="str">
        <f ca="1">IFERROR(__xludf.DUMMYFUNCTION("""COMPUTED_VALUE"""),"J1 Auriculares")</f>
        <v>J1 Auriculares</v>
      </c>
      <c r="C1111" s="75">
        <f ca="1">IFERROR(__xludf.DUMMYFUNCTION("""COMPUTED_VALUE"""),70)</f>
        <v>70</v>
      </c>
      <c r="D1111" s="75">
        <f ca="1">IFERROR(__xludf.DUMMYFUNCTION("""COMPUTED_VALUE"""),0)</f>
        <v>0</v>
      </c>
      <c r="E1111" s="76">
        <f ca="1">IFERROR(__xludf.DUMMYFUNCTION("""COMPUTED_VALUE"""),70)</f>
        <v>70</v>
      </c>
      <c r="F1111" s="77">
        <f ca="1">IFERROR(__xludf.DUMMYFUNCTION("""COMPUTED_VALUE"""),10080316)</f>
        <v>10080316</v>
      </c>
      <c r="G1111" s="77" t="str">
        <f t="shared" ca="1" si="4"/>
        <v>si</v>
      </c>
    </row>
    <row r="1112" spans="1:7" ht="12.75" x14ac:dyDescent="0.2">
      <c r="A1112" s="62">
        <f ca="1">IFERROR(__xludf.DUMMYFUNCTION("""COMPUTED_VALUE"""),10080317)</f>
        <v>10080317</v>
      </c>
      <c r="B1112" s="62" t="str">
        <f ca="1">IFERROR(__xludf.DUMMYFUNCTION("""COMPUTED_VALUE"""),"J20 RGB Auriculares")</f>
        <v>J20 RGB Auriculares</v>
      </c>
      <c r="C1112" s="75">
        <f ca="1">IFERROR(__xludf.DUMMYFUNCTION("""COMPUTED_VALUE"""),100)</f>
        <v>100</v>
      </c>
      <c r="D1112" s="75">
        <f ca="1">IFERROR(__xludf.DUMMYFUNCTION("""COMPUTED_VALUE"""),0)</f>
        <v>0</v>
      </c>
      <c r="E1112" s="76">
        <f ca="1">IFERROR(__xludf.DUMMYFUNCTION("""COMPUTED_VALUE"""),100)</f>
        <v>100</v>
      </c>
      <c r="F1112" s="77">
        <f ca="1">IFERROR(__xludf.DUMMYFUNCTION("""COMPUTED_VALUE"""),10080317)</f>
        <v>10080317</v>
      </c>
      <c r="G1112" s="77" t="str">
        <f t="shared" ca="1" si="4"/>
        <v>si</v>
      </c>
    </row>
    <row r="1113" spans="1:7" ht="12.75" x14ac:dyDescent="0.2">
      <c r="A1113" s="62">
        <f ca="1">IFERROR(__xludf.DUMMYFUNCTION("""COMPUTED_VALUE"""),10080318)</f>
        <v>10080318</v>
      </c>
      <c r="B1113" s="62" t="str">
        <f ca="1">IFERROR(__xludf.DUMMYFUNCTION("""COMPUTED_VALUE"""),"J5 RGB Auriculares")</f>
        <v>J5 RGB Auriculares</v>
      </c>
      <c r="C1113" s="75">
        <f ca="1">IFERROR(__xludf.DUMMYFUNCTION("""COMPUTED_VALUE"""),80)</f>
        <v>80</v>
      </c>
      <c r="D1113" s="75">
        <f ca="1">IFERROR(__xludf.DUMMYFUNCTION("""COMPUTED_VALUE"""),0)</f>
        <v>0</v>
      </c>
      <c r="E1113" s="76">
        <f ca="1">IFERROR(__xludf.DUMMYFUNCTION("""COMPUTED_VALUE"""),80)</f>
        <v>80</v>
      </c>
      <c r="F1113" s="77">
        <f ca="1">IFERROR(__xludf.DUMMYFUNCTION("""COMPUTED_VALUE"""),10080318)</f>
        <v>10080318</v>
      </c>
      <c r="G1113" s="77" t="str">
        <f t="shared" ca="1" si="4"/>
        <v>si</v>
      </c>
    </row>
    <row r="1114" spans="1:7" ht="12.75" x14ac:dyDescent="0.2">
      <c r="A1114" s="62">
        <f ca="1">IFERROR(__xludf.DUMMYFUNCTION("""COMPUTED_VALUE"""),10080319)</f>
        <v>10080319</v>
      </c>
      <c r="B1114" s="62" t="str">
        <f ca="1">IFERROR(__xludf.DUMMYFUNCTION("""COMPUTED_VALUE"""),"X9A Cargador inalámbrico rápido para automóvil 2 en 1")</f>
        <v>X9A Cargador inalámbrico rápido para automóvil 2 en 1</v>
      </c>
      <c r="C1114" s="75">
        <f ca="1">IFERROR(__xludf.DUMMYFUNCTION("""COMPUTED_VALUE"""),100)</f>
        <v>100</v>
      </c>
      <c r="D1114" s="75">
        <f ca="1">IFERROR(__xludf.DUMMYFUNCTION("""COMPUTED_VALUE"""),0)</f>
        <v>0</v>
      </c>
      <c r="E1114" s="76">
        <f ca="1">IFERROR(__xludf.DUMMYFUNCTION("""COMPUTED_VALUE"""),100)</f>
        <v>100</v>
      </c>
      <c r="F1114" s="77">
        <f ca="1">IFERROR(__xludf.DUMMYFUNCTION("""COMPUTED_VALUE"""),10080319)</f>
        <v>10080319</v>
      </c>
      <c r="G1114" s="77" t="str">
        <f t="shared" ca="1" si="4"/>
        <v>si</v>
      </c>
    </row>
    <row r="1115" spans="1:7" ht="12.75" x14ac:dyDescent="0.2">
      <c r="A1115" s="62">
        <f ca="1">IFERROR(__xludf.DUMMYFUNCTION("""COMPUTED_VALUE"""),10080320)</f>
        <v>10080320</v>
      </c>
      <c r="B1115" s="62" t="str">
        <f ca="1">IFERROR(__xludf.DUMMYFUNCTION("""COMPUTED_VALUE"""),"X9 taza de carga inalámbrica")</f>
        <v>X9 taza de carga inalámbrica</v>
      </c>
      <c r="C1115" s="75">
        <f ca="1">IFERROR(__xludf.DUMMYFUNCTION("""COMPUTED_VALUE"""),79.9)</f>
        <v>79.900000000000006</v>
      </c>
      <c r="D1115" s="75">
        <f ca="1">IFERROR(__xludf.DUMMYFUNCTION("""COMPUTED_VALUE"""),0)</f>
        <v>0</v>
      </c>
      <c r="E1115" s="76">
        <f ca="1">IFERROR(__xludf.DUMMYFUNCTION("""COMPUTED_VALUE"""),79.9)</f>
        <v>79.900000000000006</v>
      </c>
      <c r="F1115" s="77">
        <f ca="1">IFERROR(__xludf.DUMMYFUNCTION("""COMPUTED_VALUE"""),10080320)</f>
        <v>10080320</v>
      </c>
      <c r="G1115" s="77" t="str">
        <f t="shared" ca="1" si="4"/>
        <v>si</v>
      </c>
    </row>
    <row r="1116" spans="1:7" ht="12.75" x14ac:dyDescent="0.2">
      <c r="A1116" s="62">
        <f ca="1">IFERROR(__xludf.DUMMYFUNCTION("""COMPUTED_VALUE"""),10080321)</f>
        <v>10080321</v>
      </c>
      <c r="B1116" s="62" t="str">
        <f ca="1">IFERROR(__xludf.DUMMYFUNCTION("""COMPUTED_VALUE"""),"Soporte para portátil Orico con hub 4*USB")</f>
        <v>Soporte para portátil Orico con hub 4*USB</v>
      </c>
      <c r="C1116" s="75">
        <f ca="1">IFERROR(__xludf.DUMMYFUNCTION("""COMPUTED_VALUE"""),230)</f>
        <v>230</v>
      </c>
      <c r="D1116" s="75">
        <f ca="1">IFERROR(__xludf.DUMMYFUNCTION("""COMPUTED_VALUE"""),0)</f>
        <v>0</v>
      </c>
      <c r="E1116" s="76">
        <f ca="1">IFERROR(__xludf.DUMMYFUNCTION("""COMPUTED_VALUE"""),230)</f>
        <v>230</v>
      </c>
      <c r="F1116" s="77">
        <f ca="1">IFERROR(__xludf.DUMMYFUNCTION("""COMPUTED_VALUE"""),10080321)</f>
        <v>10080321</v>
      </c>
      <c r="G1116" s="77" t="str">
        <f t="shared" ca="1" si="4"/>
        <v>si</v>
      </c>
    </row>
    <row r="1117" spans="1:7" ht="12.75" x14ac:dyDescent="0.2">
      <c r="A1117" s="62">
        <f ca="1">IFERROR(__xludf.DUMMYFUNCTION("""COMPUTED_VALUE"""),10080322)</f>
        <v>10080322</v>
      </c>
      <c r="B1117" s="62" t="str">
        <f ca="1">IFERROR(__xludf.DUMMYFUNCTION("""COMPUTED_VALUE"""),"Autofocus 1080p/2K camera ")</f>
        <v xml:space="preserve">Autofocus 1080p/2K camera </v>
      </c>
      <c r="C1117" s="75">
        <f ca="1">IFERROR(__xludf.DUMMYFUNCTION("""COMPUTED_VALUE"""),100)</f>
        <v>100</v>
      </c>
      <c r="D1117" s="75">
        <f ca="1">IFERROR(__xludf.DUMMYFUNCTION("""COMPUTED_VALUE"""),0)</f>
        <v>0</v>
      </c>
      <c r="E1117" s="76">
        <f ca="1">IFERROR(__xludf.DUMMYFUNCTION("""COMPUTED_VALUE"""),100)</f>
        <v>100</v>
      </c>
      <c r="F1117" s="77">
        <f ca="1">IFERROR(__xludf.DUMMYFUNCTION("""COMPUTED_VALUE"""),10080322)</f>
        <v>10080322</v>
      </c>
      <c r="G1117" s="77" t="str">
        <f t="shared" ca="1" si="4"/>
        <v>si</v>
      </c>
    </row>
    <row r="1118" spans="1:7" ht="12.75" x14ac:dyDescent="0.2">
      <c r="A1118" s="62">
        <f ca="1">IFERROR(__xludf.DUMMYFUNCTION("""COMPUTED_VALUE"""),10080323)</f>
        <v>10080323</v>
      </c>
      <c r="B1118" s="62" t="str">
        <f ca="1">IFERROR(__xludf.DUMMYFUNCTION("""COMPUTED_VALUE"""),"Case de Ipad mini 2/3/5- Air 10.9 de 4ta - 11 pro / Ipad Pro de 12.9 de 5ta - 4ta / Ipad 11 Pro  2da - 3er / Ipad 6 - Air 2 / Ipad de 3ra /")</f>
        <v>Case de Ipad mini 2/3/5- Air 10.9 de 4ta - 11 pro / Ipad Pro de 12.9 de 5ta - 4ta / Ipad 11 Pro  2da - 3er / Ipad 6 - Air 2 / Ipad de 3ra /</v>
      </c>
      <c r="C1118" s="75">
        <f ca="1">IFERROR(__xludf.DUMMYFUNCTION("""COMPUTED_VALUE"""),30)</f>
        <v>30</v>
      </c>
      <c r="D1118" s="75">
        <f ca="1">IFERROR(__xludf.DUMMYFUNCTION("""COMPUTED_VALUE"""),0)</f>
        <v>0</v>
      </c>
      <c r="E1118" s="76">
        <f ca="1">IFERROR(__xludf.DUMMYFUNCTION("""COMPUTED_VALUE"""),30)</f>
        <v>30</v>
      </c>
      <c r="F1118" s="77">
        <f ca="1">IFERROR(__xludf.DUMMYFUNCTION("""COMPUTED_VALUE"""),10080323)</f>
        <v>10080323</v>
      </c>
      <c r="G1118" s="77" t="str">
        <f t="shared" ca="1" si="4"/>
        <v>si</v>
      </c>
    </row>
    <row r="1119" spans="1:7" ht="12.75" x14ac:dyDescent="0.2">
      <c r="A1119" s="62">
        <f ca="1">IFERROR(__xludf.DUMMYFUNCTION("""COMPUTED_VALUE"""),10080324)</f>
        <v>10080324</v>
      </c>
      <c r="B1119" s="62" t="str">
        <f ca="1">IFERROR(__xludf.DUMMYFUNCTION("""COMPUTED_VALUE"""),"Alu+glass 15W  magnetic charger Qi standard")</f>
        <v>Alu+glass 15W  magnetic charger Qi standard</v>
      </c>
      <c r="C1119" s="75">
        <f ca="1">IFERROR(__xludf.DUMMYFUNCTION("""COMPUTED_VALUE"""),50)</f>
        <v>50</v>
      </c>
      <c r="D1119" s="75">
        <f ca="1">IFERROR(__xludf.DUMMYFUNCTION("""COMPUTED_VALUE"""),0)</f>
        <v>0</v>
      </c>
      <c r="E1119" s="76">
        <f ca="1">IFERROR(__xludf.DUMMYFUNCTION("""COMPUTED_VALUE"""),50)</f>
        <v>50</v>
      </c>
      <c r="F1119" s="77">
        <f ca="1">IFERROR(__xludf.DUMMYFUNCTION("""COMPUTED_VALUE"""),10080324)</f>
        <v>10080324</v>
      </c>
      <c r="G1119" s="77" t="str">
        <f t="shared" ca="1" si="4"/>
        <v>si</v>
      </c>
    </row>
    <row r="1120" spans="1:7" ht="12.75" x14ac:dyDescent="0.2">
      <c r="A1120" s="62">
        <f ca="1">IFERROR(__xludf.DUMMYFUNCTION("""COMPUTED_VALUE"""),10080325)</f>
        <v>10080325</v>
      </c>
      <c r="B1120" s="62" t="str">
        <f ca="1">IFERROR(__xludf.DUMMYFUNCTION("""COMPUTED_VALUE"""),"Cargador inalámbrico para coche con sensor de infrarrojos inteligente R2")</f>
        <v>Cargador inalámbrico para coche con sensor de infrarrojos inteligente R2</v>
      </c>
      <c r="C1120" s="75">
        <f ca="1">IFERROR(__xludf.DUMMYFUNCTION("""COMPUTED_VALUE"""),29.9)</f>
        <v>29.9</v>
      </c>
      <c r="D1120" s="75">
        <f ca="1">IFERROR(__xludf.DUMMYFUNCTION("""COMPUTED_VALUE"""),0)</f>
        <v>0</v>
      </c>
      <c r="E1120" s="76">
        <f ca="1">IFERROR(__xludf.DUMMYFUNCTION("""COMPUTED_VALUE"""),29.9)</f>
        <v>29.9</v>
      </c>
      <c r="F1120" s="77">
        <f ca="1">IFERROR(__xludf.DUMMYFUNCTION("""COMPUTED_VALUE"""),10080325)</f>
        <v>10080325</v>
      </c>
      <c r="G1120" s="77" t="str">
        <f t="shared" ca="1" si="4"/>
        <v>si</v>
      </c>
    </row>
    <row r="1121" spans="1:7" ht="12.75" x14ac:dyDescent="0.2">
      <c r="A1121" s="62">
        <f ca="1">IFERROR(__xludf.DUMMYFUNCTION("""COMPUTED_VALUE"""),10080326)</f>
        <v>10080326</v>
      </c>
      <c r="B1121" s="62" t="str">
        <f ca="1">IFERROR(__xludf.DUMMYFUNCTION("""COMPUTED_VALUE"""),"G2000 heaphone")</f>
        <v>G2000 heaphone</v>
      </c>
      <c r="C1121" s="75">
        <f ca="1">IFERROR(__xludf.DUMMYFUNCTION("""COMPUTED_VALUE"""),64.9)</f>
        <v>64.900000000000006</v>
      </c>
      <c r="D1121" s="75">
        <f ca="1">IFERROR(__xludf.DUMMYFUNCTION("""COMPUTED_VALUE"""),0)</f>
        <v>0</v>
      </c>
      <c r="E1121" s="76">
        <f ca="1">IFERROR(__xludf.DUMMYFUNCTION("""COMPUTED_VALUE"""),64.9)</f>
        <v>64.900000000000006</v>
      </c>
      <c r="F1121" s="77">
        <f ca="1">IFERROR(__xludf.DUMMYFUNCTION("""COMPUTED_VALUE"""),10080326)</f>
        <v>10080326</v>
      </c>
      <c r="G1121" s="77" t="str">
        <f t="shared" ca="1" si="4"/>
        <v>si</v>
      </c>
    </row>
    <row r="1122" spans="1:7" ht="12.75" x14ac:dyDescent="0.2">
      <c r="A1122" s="62">
        <f ca="1">IFERROR(__xludf.DUMMYFUNCTION("""COMPUTED_VALUE"""),20190003)</f>
        <v>20190003</v>
      </c>
      <c r="B1122" s="62" t="str">
        <f ca="1">IFERROR(__xludf.DUMMYFUNCTION("""COMPUTED_VALUE"""),"4 ports QC3.0 fast charge 40W multi-port charger PD")</f>
        <v>4 ports QC3.0 fast charge 40W multi-port charger PD</v>
      </c>
      <c r="C1122" s="75">
        <f ca="1">IFERROR(__xludf.DUMMYFUNCTION("""COMPUTED_VALUE"""),80)</f>
        <v>80</v>
      </c>
      <c r="D1122" s="75">
        <f ca="1">IFERROR(__xludf.DUMMYFUNCTION("""COMPUTED_VALUE"""),0)</f>
        <v>0</v>
      </c>
      <c r="E1122" s="76">
        <f ca="1">IFERROR(__xludf.DUMMYFUNCTION("""COMPUTED_VALUE"""),80)</f>
        <v>80</v>
      </c>
      <c r="F1122" s="77">
        <f ca="1">IFERROR(__xludf.DUMMYFUNCTION("""COMPUTED_VALUE"""),20190003)</f>
        <v>20190003</v>
      </c>
      <c r="G1122" s="77" t="str">
        <f t="shared" ca="1" si="4"/>
        <v>si</v>
      </c>
    </row>
    <row r="1123" spans="1:7" ht="12.75" x14ac:dyDescent="0.2">
      <c r="A1123" s="62">
        <f ca="1">IFERROR(__xludf.DUMMYFUNCTION("""COMPUTED_VALUE"""),10080327)</f>
        <v>10080327</v>
      </c>
      <c r="B1123" s="62" t="str">
        <f ca="1">IFERROR(__xludf.DUMMYFUNCTION("""COMPUTED_VALUE"""),"Aluminum portable notebook computer stand ")</f>
        <v xml:space="preserve">Aluminum portable notebook computer stand </v>
      </c>
      <c r="C1123" s="75">
        <f ca="1">IFERROR(__xludf.DUMMYFUNCTION("""COMPUTED_VALUE"""),140)</f>
        <v>140</v>
      </c>
      <c r="D1123" s="75">
        <f ca="1">IFERROR(__xludf.DUMMYFUNCTION("""COMPUTED_VALUE"""),0)</f>
        <v>0</v>
      </c>
      <c r="E1123" s="76">
        <f ca="1">IFERROR(__xludf.DUMMYFUNCTION("""COMPUTED_VALUE"""),140)</f>
        <v>140</v>
      </c>
      <c r="F1123" s="77">
        <f ca="1">IFERROR(__xludf.DUMMYFUNCTION("""COMPUTED_VALUE"""),10080327)</f>
        <v>10080327</v>
      </c>
      <c r="G1123" s="77" t="str">
        <f t="shared" ca="1" si="4"/>
        <v>si</v>
      </c>
    </row>
    <row r="1124" spans="1:7" ht="12.75" x14ac:dyDescent="0.2">
      <c r="A1124" s="62">
        <f ca="1">IFERROR(__xludf.DUMMYFUNCTION("""COMPUTED_VALUE"""),10080328)</f>
        <v>10080328</v>
      </c>
      <c r="B1124" s="62" t="str">
        <f ca="1">IFERROR(__xludf.DUMMYFUNCTION("""COMPUTED_VALUE"""),"Mesa de ordenador plegable con alfombrilla de Mouse")</f>
        <v>Mesa de ordenador plegable con alfombrilla de Mouse</v>
      </c>
      <c r="C1124" s="75">
        <f ca="1">IFERROR(__xludf.DUMMYFUNCTION("""COMPUTED_VALUE"""),70)</f>
        <v>70</v>
      </c>
      <c r="D1124" s="75">
        <f ca="1">IFERROR(__xludf.DUMMYFUNCTION("""COMPUTED_VALUE"""),0)</f>
        <v>0</v>
      </c>
      <c r="E1124" s="76">
        <f ca="1">IFERROR(__xludf.DUMMYFUNCTION("""COMPUTED_VALUE"""),70)</f>
        <v>70</v>
      </c>
      <c r="F1124" s="77">
        <f ca="1">IFERROR(__xludf.DUMMYFUNCTION("""COMPUTED_VALUE"""),10080328)</f>
        <v>10080328</v>
      </c>
      <c r="G1124" s="77" t="str">
        <f t="shared" ca="1" si="4"/>
        <v>si</v>
      </c>
    </row>
    <row r="1125" spans="1:7" ht="12.75" x14ac:dyDescent="0.2">
      <c r="A1125" s="62">
        <f ca="1">IFERROR(__xludf.DUMMYFUNCTION("""COMPUTED_VALUE"""),10080329)</f>
        <v>10080329</v>
      </c>
      <c r="B1125" s="62" t="str">
        <f ca="1">IFERROR(__xludf.DUMMYFUNCTION("""COMPUTED_VALUE"""),"C5 notebook cooler")</f>
        <v>C5 notebook cooler</v>
      </c>
      <c r="C1125" s="75">
        <f ca="1">IFERROR(__xludf.DUMMYFUNCTION("""COMPUTED_VALUE"""),50)</f>
        <v>50</v>
      </c>
      <c r="D1125" s="75">
        <f ca="1">IFERROR(__xludf.DUMMYFUNCTION("""COMPUTED_VALUE"""),0)</f>
        <v>0</v>
      </c>
      <c r="E1125" s="76">
        <f ca="1">IFERROR(__xludf.DUMMYFUNCTION("""COMPUTED_VALUE"""),50)</f>
        <v>50</v>
      </c>
      <c r="F1125" s="77">
        <f ca="1">IFERROR(__xludf.DUMMYFUNCTION("""COMPUTED_VALUE"""),10080329)</f>
        <v>10080329</v>
      </c>
      <c r="G1125" s="77" t="str">
        <f t="shared" ca="1" si="4"/>
        <v>si</v>
      </c>
    </row>
    <row r="1126" spans="1:7" ht="12.75" x14ac:dyDescent="0.2">
      <c r="A1126" s="62">
        <f ca="1">IFERROR(__xludf.DUMMYFUNCTION("""COMPUTED_VALUE"""),10080330)</f>
        <v>10080330</v>
      </c>
      <c r="B1126" s="62" t="str">
        <f ca="1">IFERROR(__xludf.DUMMYFUNCTION("""COMPUTED_VALUE"""),"054S2 Notebook stand con cooler pequeño")</f>
        <v>054S2 Notebook stand con cooler pequeño</v>
      </c>
      <c r="C1126" s="75">
        <f ca="1">IFERROR(__xludf.DUMMYFUNCTION("""COMPUTED_VALUE"""),70)</f>
        <v>70</v>
      </c>
      <c r="D1126" s="75">
        <f ca="1">IFERROR(__xludf.DUMMYFUNCTION("""COMPUTED_VALUE"""),0)</f>
        <v>0</v>
      </c>
      <c r="E1126" s="76">
        <f ca="1">IFERROR(__xludf.DUMMYFUNCTION("""COMPUTED_VALUE"""),70)</f>
        <v>70</v>
      </c>
      <c r="F1126" s="77">
        <f ca="1">IFERROR(__xludf.DUMMYFUNCTION("""COMPUTED_VALUE"""),10080330)</f>
        <v>10080330</v>
      </c>
      <c r="G1126" s="77" t="str">
        <f t="shared" ca="1" si="4"/>
        <v>si</v>
      </c>
    </row>
    <row r="1127" spans="1:7" ht="12.75" x14ac:dyDescent="0.2">
      <c r="A1127" s="62">
        <f ca="1">IFERROR(__xludf.DUMMYFUNCTION("""COMPUTED_VALUE"""),10080331)</f>
        <v>10080331</v>
      </c>
      <c r="B1127" s="62" t="str">
        <f ca="1">IFERROR(__xludf.DUMMYFUNCTION("""COMPUTED_VALUE"""),"S6 Cooler with 2 USB+ speed adjustment")</f>
        <v>S6 Cooler with 2 USB+ speed adjustment</v>
      </c>
      <c r="C1127" s="75">
        <f ca="1">IFERROR(__xludf.DUMMYFUNCTION("""COMPUTED_VALUE"""),60)</f>
        <v>60</v>
      </c>
      <c r="D1127" s="75">
        <f ca="1">IFERROR(__xludf.DUMMYFUNCTION("""COMPUTED_VALUE"""),0)</f>
        <v>0</v>
      </c>
      <c r="E1127" s="76">
        <f ca="1">IFERROR(__xludf.DUMMYFUNCTION("""COMPUTED_VALUE"""),60)</f>
        <v>60</v>
      </c>
      <c r="F1127" s="77">
        <f ca="1">IFERROR(__xludf.DUMMYFUNCTION("""COMPUTED_VALUE"""),10080331)</f>
        <v>10080331</v>
      </c>
      <c r="G1127" s="77" t="str">
        <f t="shared" ca="1" si="4"/>
        <v>si</v>
      </c>
    </row>
    <row r="1128" spans="1:7" ht="12.75" x14ac:dyDescent="0.2">
      <c r="A1128" s="62">
        <f ca="1">IFERROR(__xludf.DUMMYFUNCTION("""COMPUTED_VALUE"""),10080332)</f>
        <v>10080332</v>
      </c>
      <c r="B1128" s="62" t="str">
        <f ca="1">IFERROR(__xludf.DUMMYFUNCTION("""COMPUTED_VALUE"""),"038S5 Cooler con pantalla led")</f>
        <v>038S5 Cooler con pantalla led</v>
      </c>
      <c r="C1128" s="75">
        <f ca="1">IFERROR(__xludf.DUMMYFUNCTION("""COMPUTED_VALUE"""),60)</f>
        <v>60</v>
      </c>
      <c r="D1128" s="75">
        <f ca="1">IFERROR(__xludf.DUMMYFUNCTION("""COMPUTED_VALUE"""),0)</f>
        <v>0</v>
      </c>
      <c r="E1128" s="76">
        <f ca="1">IFERROR(__xludf.DUMMYFUNCTION("""COMPUTED_VALUE"""),60)</f>
        <v>60</v>
      </c>
      <c r="F1128" s="77">
        <f ca="1">IFERROR(__xludf.DUMMYFUNCTION("""COMPUTED_VALUE"""),10080332)</f>
        <v>10080332</v>
      </c>
      <c r="G1128" s="77" t="str">
        <f t="shared" ca="1" si="4"/>
        <v>si</v>
      </c>
    </row>
    <row r="1129" spans="1:7" ht="12.75" x14ac:dyDescent="0.2">
      <c r="A1129" s="62">
        <f ca="1">IFERROR(__xludf.DUMMYFUNCTION("""COMPUTED_VALUE"""),10080333)</f>
        <v>10080333</v>
      </c>
      <c r="B1129" s="62" t="str">
        <f ca="1">IFERROR(__xludf.DUMMYFUNCTION("""COMPUTED_VALUE"""),"021S RGB Cooler con aire frio")</f>
        <v>021S RGB Cooler con aire frio</v>
      </c>
      <c r="C1129" s="75">
        <f ca="1">IFERROR(__xludf.DUMMYFUNCTION("""COMPUTED_VALUE"""),90)</f>
        <v>90</v>
      </c>
      <c r="D1129" s="75">
        <f ca="1">IFERROR(__xludf.DUMMYFUNCTION("""COMPUTED_VALUE"""),0)</f>
        <v>0</v>
      </c>
      <c r="E1129" s="76">
        <f ca="1">IFERROR(__xludf.DUMMYFUNCTION("""COMPUTED_VALUE"""),90)</f>
        <v>90</v>
      </c>
      <c r="F1129" s="77">
        <f ca="1">IFERROR(__xludf.DUMMYFUNCTION("""COMPUTED_VALUE"""),10080333)</f>
        <v>10080333</v>
      </c>
      <c r="G1129" s="77" t="str">
        <f t="shared" ca="1" si="4"/>
        <v>si</v>
      </c>
    </row>
    <row r="1130" spans="1:7" ht="12.75" x14ac:dyDescent="0.2">
      <c r="A1130" s="62">
        <f ca="1">IFERROR(__xludf.DUMMYFUNCTION("""COMPUTED_VALUE"""),10080334)</f>
        <v>10080334</v>
      </c>
      <c r="B1130" s="62" t="str">
        <f ca="1">IFERROR(__xludf.DUMMYFUNCTION("""COMPUTED_VALUE"""),"Cargador inalámbrico multifuncional Taza de termostato inteligente de 55 grados")</f>
        <v>Cargador inalámbrico multifuncional Taza de termostato inteligente de 55 grados</v>
      </c>
      <c r="C1130" s="75">
        <f ca="1">IFERROR(__xludf.DUMMYFUNCTION("""COMPUTED_VALUE"""),129.9)</f>
        <v>129.9</v>
      </c>
      <c r="D1130" s="75">
        <f ca="1">IFERROR(__xludf.DUMMYFUNCTION("""COMPUTED_VALUE"""),0)</f>
        <v>0</v>
      </c>
      <c r="E1130" s="76">
        <f ca="1">IFERROR(__xludf.DUMMYFUNCTION("""COMPUTED_VALUE"""),129.9)</f>
        <v>129.9</v>
      </c>
      <c r="F1130" s="77">
        <f ca="1">IFERROR(__xludf.DUMMYFUNCTION("""COMPUTED_VALUE"""),10080334)</f>
        <v>10080334</v>
      </c>
      <c r="G1130" s="77" t="str">
        <f t="shared" ca="1" si="4"/>
        <v>si</v>
      </c>
    </row>
    <row r="1131" spans="1:7" ht="12.75" x14ac:dyDescent="0.2">
      <c r="A1131" s="62">
        <f ca="1">IFERROR(__xludf.DUMMYFUNCTION("""COMPUTED_VALUE"""),10080335)</f>
        <v>10080335</v>
      </c>
      <c r="B1131" s="62" t="str">
        <f ca="1">IFERROR(__xludf.DUMMYFUNCTION("""COMPUTED_VALUE"""),"Multifunctional 3 in 1 wireless charger")</f>
        <v>Multifunctional 3 in 1 wireless charger</v>
      </c>
      <c r="C1131" s="75">
        <f ca="1">IFERROR(__xludf.DUMMYFUNCTION("""COMPUTED_VALUE"""),120)</f>
        <v>120</v>
      </c>
      <c r="D1131" s="75">
        <f ca="1">IFERROR(__xludf.DUMMYFUNCTION("""COMPUTED_VALUE"""),0)</f>
        <v>0</v>
      </c>
      <c r="E1131" s="76">
        <f ca="1">IFERROR(__xludf.DUMMYFUNCTION("""COMPUTED_VALUE"""),120)</f>
        <v>120</v>
      </c>
      <c r="F1131" s="77">
        <f ca="1">IFERROR(__xludf.DUMMYFUNCTION("""COMPUTED_VALUE"""),10080335)</f>
        <v>10080335</v>
      </c>
      <c r="G1131" s="77" t="str">
        <f t="shared" ca="1" si="4"/>
        <v>si</v>
      </c>
    </row>
    <row r="1132" spans="1:7" ht="12.75" x14ac:dyDescent="0.2">
      <c r="A1132" s="62">
        <f ca="1">IFERROR(__xludf.DUMMYFUNCTION("""COMPUTED_VALUE"""),10080336)</f>
        <v>10080336</v>
      </c>
      <c r="B1132" s="62" t="str">
        <f ca="1">IFERROR(__xludf.DUMMYFUNCTION("""COMPUTED_VALUE"""),"mochila de carga USB de gran capacidad negra o plomo")</f>
        <v>mochila de carga USB de gran capacidad negra o plomo</v>
      </c>
      <c r="C1132" s="75">
        <f ca="1">IFERROR(__xludf.DUMMYFUNCTION("""COMPUTED_VALUE"""),60)</f>
        <v>60</v>
      </c>
      <c r="D1132" s="75">
        <f ca="1">IFERROR(__xludf.DUMMYFUNCTION("""COMPUTED_VALUE"""),0)</f>
        <v>0</v>
      </c>
      <c r="E1132" s="76">
        <f ca="1">IFERROR(__xludf.DUMMYFUNCTION("""COMPUTED_VALUE"""),60)</f>
        <v>60</v>
      </c>
      <c r="F1132" s="77">
        <f ca="1">IFERROR(__xludf.DUMMYFUNCTION("""COMPUTED_VALUE"""),10080336)</f>
        <v>10080336</v>
      </c>
      <c r="G1132" s="77" t="str">
        <f t="shared" ca="1" si="4"/>
        <v>si</v>
      </c>
    </row>
    <row r="1133" spans="1:7" ht="12.75" x14ac:dyDescent="0.2">
      <c r="A1133" s="62">
        <f ca="1">IFERROR(__xludf.DUMMYFUNCTION("""COMPUTED_VALUE"""),10080337)</f>
        <v>10080337</v>
      </c>
      <c r="B1133" s="62" t="str">
        <f ca="1">IFERROR(__xludf.DUMMYFUNCTION("""COMPUTED_VALUE"""),"mochila de carga USB de gran capacidad plomo")</f>
        <v>mochila de carga USB de gran capacidad plomo</v>
      </c>
      <c r="C1133" s="75">
        <f ca="1">IFERROR(__xludf.DUMMYFUNCTION("""COMPUTED_VALUE"""),34.9)</f>
        <v>34.9</v>
      </c>
      <c r="D1133" s="75">
        <f ca="1">IFERROR(__xludf.DUMMYFUNCTION("""COMPUTED_VALUE"""),0)</f>
        <v>0</v>
      </c>
      <c r="E1133" s="76">
        <f ca="1">IFERROR(__xludf.DUMMYFUNCTION("""COMPUTED_VALUE"""),34.9)</f>
        <v>34.9</v>
      </c>
      <c r="F1133" s="77">
        <f ca="1">IFERROR(__xludf.DUMMYFUNCTION("""COMPUTED_VALUE"""),10080337)</f>
        <v>10080337</v>
      </c>
      <c r="G1133" s="77" t="str">
        <f t="shared" ca="1" si="4"/>
        <v>si</v>
      </c>
    </row>
    <row r="1134" spans="1:7" ht="12.75" x14ac:dyDescent="0.2">
      <c r="A1134" s="62">
        <f ca="1">IFERROR(__xludf.DUMMYFUNCTION("""COMPUTED_VALUE"""),10080338)</f>
        <v>10080338</v>
      </c>
      <c r="B1134" s="62" t="str">
        <f ca="1">IFERROR(__xludf.DUMMYFUNCTION("""COMPUTED_VALUE"""),"Mochila de viaje de ocio de gran capacidad para hombre.")</f>
        <v>Mochila de viaje de ocio de gran capacidad para hombre.</v>
      </c>
      <c r="C1134" s="75">
        <f ca="1">IFERROR(__xludf.DUMMYFUNCTION("""COMPUTED_VALUE"""),50)</f>
        <v>50</v>
      </c>
      <c r="D1134" s="75">
        <f ca="1">IFERROR(__xludf.DUMMYFUNCTION("""COMPUTED_VALUE"""),0)</f>
        <v>0</v>
      </c>
      <c r="E1134" s="76">
        <f ca="1">IFERROR(__xludf.DUMMYFUNCTION("""COMPUTED_VALUE"""),50)</f>
        <v>50</v>
      </c>
      <c r="F1134" s="77">
        <f ca="1">IFERROR(__xludf.DUMMYFUNCTION("""COMPUTED_VALUE"""),10080338)</f>
        <v>10080338</v>
      </c>
      <c r="G1134" s="77" t="str">
        <f t="shared" ca="1" si="4"/>
        <v>si</v>
      </c>
    </row>
    <row r="1135" spans="1:7" ht="12.75" x14ac:dyDescent="0.2">
      <c r="A1135" s="62">
        <f ca="1">IFERROR(__xludf.DUMMYFUNCTION("""COMPUTED_VALUE"""),10080339)</f>
        <v>10080339</v>
      </c>
      <c r="B1135" s="62" t="str">
        <f ca="1">IFERROR(__xludf.DUMMYFUNCTION("""COMPUTED_VALUE"""),"Mochila con carga USB de gran capacidad plomo oscuro de bolsillos")</f>
        <v>Mochila con carga USB de gran capacidad plomo oscuro de bolsillos</v>
      </c>
      <c r="C1135" s="75">
        <f ca="1">IFERROR(__xludf.DUMMYFUNCTION("""COMPUTED_VALUE"""),60)</f>
        <v>60</v>
      </c>
      <c r="D1135" s="75">
        <f ca="1">IFERROR(__xludf.DUMMYFUNCTION("""COMPUTED_VALUE"""),0)</f>
        <v>0</v>
      </c>
      <c r="E1135" s="76">
        <f ca="1">IFERROR(__xludf.DUMMYFUNCTION("""COMPUTED_VALUE"""),60)</f>
        <v>60</v>
      </c>
      <c r="F1135" s="77">
        <f ca="1">IFERROR(__xludf.DUMMYFUNCTION("""COMPUTED_VALUE"""),10080339)</f>
        <v>10080339</v>
      </c>
      <c r="G1135" s="77" t="str">
        <f t="shared" ca="1" si="4"/>
        <v>si</v>
      </c>
    </row>
    <row r="1136" spans="1:7" ht="12.75" x14ac:dyDescent="0.2">
      <c r="A1136" s="62">
        <f ca="1">IFERROR(__xludf.DUMMYFUNCTION("""COMPUTED_VALUE"""),10080340)</f>
        <v>10080340</v>
      </c>
      <c r="B1136" s="62" t="str">
        <f ca="1">IFERROR(__xludf.DUMMYFUNCTION("""COMPUTED_VALUE"""),"Car water cup holder")</f>
        <v>Car water cup holder</v>
      </c>
      <c r="C1136" s="75">
        <f ca="1">IFERROR(__xludf.DUMMYFUNCTION("""COMPUTED_VALUE"""),29.9)</f>
        <v>29.9</v>
      </c>
      <c r="D1136" s="75">
        <f ca="1">IFERROR(__xludf.DUMMYFUNCTION("""COMPUTED_VALUE"""),0)</f>
        <v>0</v>
      </c>
      <c r="E1136" s="76">
        <f ca="1">IFERROR(__xludf.DUMMYFUNCTION("""COMPUTED_VALUE"""),29.9)</f>
        <v>29.9</v>
      </c>
      <c r="F1136" s="77">
        <f ca="1">IFERROR(__xludf.DUMMYFUNCTION("""COMPUTED_VALUE"""),10080340)</f>
        <v>10080340</v>
      </c>
      <c r="G1136" s="77" t="str">
        <f t="shared" ca="1" si="4"/>
        <v>si</v>
      </c>
    </row>
    <row r="1137" spans="1:7" ht="12.75" x14ac:dyDescent="0.2">
      <c r="A1137" s="62">
        <f ca="1">IFERROR(__xludf.DUMMYFUNCTION("""COMPUTED_VALUE"""),10080341)</f>
        <v>10080341</v>
      </c>
      <c r="B1137" s="62" t="str">
        <f ca="1">IFERROR(__xludf.DUMMYFUNCTION("""COMPUTED_VALUE"""),"Soporte superior para teléfono móvil")</f>
        <v>Soporte superior para teléfono móvil</v>
      </c>
      <c r="C1137" s="75">
        <f ca="1">IFERROR(__xludf.DUMMYFUNCTION("""COMPUTED_VALUE"""),50)</f>
        <v>50</v>
      </c>
      <c r="D1137" s="75">
        <f ca="1">IFERROR(__xludf.DUMMYFUNCTION("""COMPUTED_VALUE"""),0)</f>
        <v>0</v>
      </c>
      <c r="E1137" s="76">
        <f ca="1">IFERROR(__xludf.DUMMYFUNCTION("""COMPUTED_VALUE"""),50)</f>
        <v>50</v>
      </c>
      <c r="F1137" s="77">
        <f ca="1">IFERROR(__xludf.DUMMYFUNCTION("""COMPUTED_VALUE"""),10080341)</f>
        <v>10080341</v>
      </c>
      <c r="G1137" s="77" t="str">
        <f t="shared" ca="1" si="4"/>
        <v>si</v>
      </c>
    </row>
    <row r="1138" spans="1:7" ht="12.75" x14ac:dyDescent="0.2">
      <c r="A1138" s="62">
        <f ca="1">IFERROR(__xludf.DUMMYFUNCTION("""COMPUTED_VALUE"""),10080342)</f>
        <v>10080342</v>
      </c>
      <c r="B1138" s="62" t="str">
        <f ca="1">IFERROR(__xludf.DUMMYFUNCTION("""COMPUTED_VALUE"""),"vlog set microphone + tripod + mobile phone clip + fill light ")</f>
        <v xml:space="preserve">vlog set microphone + tripod + mobile phone clip + fill light </v>
      </c>
      <c r="C1138" s="75">
        <f ca="1">IFERROR(__xludf.DUMMYFUNCTION("""COMPUTED_VALUE"""),60)</f>
        <v>60</v>
      </c>
      <c r="D1138" s="75">
        <f ca="1">IFERROR(__xludf.DUMMYFUNCTION("""COMPUTED_VALUE"""),0)</f>
        <v>0</v>
      </c>
      <c r="E1138" s="76">
        <f ca="1">IFERROR(__xludf.DUMMYFUNCTION("""COMPUTED_VALUE"""),60)</f>
        <v>60</v>
      </c>
      <c r="F1138" s="77">
        <f ca="1">IFERROR(__xludf.DUMMYFUNCTION("""COMPUTED_VALUE"""),10080342)</f>
        <v>10080342</v>
      </c>
      <c r="G1138" s="77" t="str">
        <f t="shared" ca="1" si="4"/>
        <v>si</v>
      </c>
    </row>
    <row r="1139" spans="1:7" ht="12.75" x14ac:dyDescent="0.2">
      <c r="A1139" s="62">
        <f ca="1">IFERROR(__xludf.DUMMYFUNCTION("""COMPUTED_VALUE"""),10080343)</f>
        <v>10080343</v>
      </c>
      <c r="B1139" s="62" t="str">
        <f ca="1">IFERROR(__xludf.DUMMYFUNCTION("""COMPUTED_VALUE"""),"Vlog video shooting set ")</f>
        <v xml:space="preserve">Vlog video shooting set </v>
      </c>
      <c r="C1139" s="75">
        <f ca="1">IFERROR(__xludf.DUMMYFUNCTION("""COMPUTED_VALUE"""),80)</f>
        <v>80</v>
      </c>
      <c r="D1139" s="75">
        <f ca="1">IFERROR(__xludf.DUMMYFUNCTION("""COMPUTED_VALUE"""),0)</f>
        <v>0</v>
      </c>
      <c r="E1139" s="76">
        <f ca="1">IFERROR(__xludf.DUMMYFUNCTION("""COMPUTED_VALUE"""),80)</f>
        <v>80</v>
      </c>
      <c r="F1139" s="77">
        <f ca="1">IFERROR(__xludf.DUMMYFUNCTION("""COMPUTED_VALUE"""),10080343)</f>
        <v>10080343</v>
      </c>
      <c r="G1139" s="77" t="str">
        <f t="shared" ca="1" si="4"/>
        <v>si</v>
      </c>
    </row>
    <row r="1140" spans="1:7" ht="12.75" x14ac:dyDescent="0.2">
      <c r="A1140" s="62">
        <f ca="1">IFERROR(__xludf.DUMMYFUNCTION("""COMPUTED_VALUE"""),10080344)</f>
        <v>10080344</v>
      </c>
      <c r="B1140" s="62" t="str">
        <f ca="1">IFERROR(__xludf.DUMMYFUNCTION("""COMPUTED_VALUE"""),"Cargador inalámbrico de alta potencia bocina Bluetooth")</f>
        <v>Cargador inalámbrico de alta potencia bocina Bluetooth</v>
      </c>
      <c r="C1140" s="75">
        <f ca="1">IFERROR(__xludf.DUMMYFUNCTION("""COMPUTED_VALUE"""),160)</f>
        <v>160</v>
      </c>
      <c r="D1140" s="75">
        <f ca="1">IFERROR(__xludf.DUMMYFUNCTION("""COMPUTED_VALUE"""),0)</f>
        <v>0</v>
      </c>
      <c r="E1140" s="76">
        <f ca="1">IFERROR(__xludf.DUMMYFUNCTION("""COMPUTED_VALUE"""),160)</f>
        <v>160</v>
      </c>
      <c r="F1140" s="77">
        <f ca="1">IFERROR(__xludf.DUMMYFUNCTION("""COMPUTED_VALUE"""),10080344)</f>
        <v>10080344</v>
      </c>
      <c r="G1140" s="77" t="str">
        <f t="shared" ca="1" si="4"/>
        <v>si</v>
      </c>
    </row>
    <row r="1141" spans="1:7" ht="12.75" x14ac:dyDescent="0.2">
      <c r="A1141" s="62">
        <f ca="1">IFERROR(__xludf.DUMMYFUNCTION("""COMPUTED_VALUE"""),10080345)</f>
        <v>10080345</v>
      </c>
      <c r="B1141" s="62" t="str">
        <f ca="1">IFERROR(__xludf.DUMMYFUNCTION("""COMPUTED_VALUE"""),"150W Car inverter(12V to 220V)")</f>
        <v>150W Car inverter(12V to 220V)</v>
      </c>
      <c r="C1141" s="75">
        <f ca="1">IFERROR(__xludf.DUMMYFUNCTION("""COMPUTED_VALUE"""),90)</f>
        <v>90</v>
      </c>
      <c r="D1141" s="75">
        <f ca="1">IFERROR(__xludf.DUMMYFUNCTION("""COMPUTED_VALUE"""),0)</f>
        <v>0</v>
      </c>
      <c r="E1141" s="76">
        <f ca="1">IFERROR(__xludf.DUMMYFUNCTION("""COMPUTED_VALUE"""),90)</f>
        <v>90</v>
      </c>
      <c r="F1141" s="77">
        <f ca="1">IFERROR(__xludf.DUMMYFUNCTION("""COMPUTED_VALUE"""),10080345)</f>
        <v>10080345</v>
      </c>
      <c r="G1141" s="77" t="str">
        <f t="shared" ca="1" si="4"/>
        <v>si</v>
      </c>
    </row>
    <row r="1142" spans="1:7" ht="12.75" x14ac:dyDescent="0.2">
      <c r="A1142" s="62">
        <f ca="1">IFERROR(__xludf.DUMMYFUNCTION("""COMPUTED_VALUE"""),10080346)</f>
        <v>10080346</v>
      </c>
      <c r="B1142" s="62" t="str">
        <f ca="1">IFERROR(__xludf.DUMMYFUNCTION("""COMPUTED_VALUE"""),"B2 cargador inalámbrico para taza de coche")</f>
        <v>B2 cargador inalámbrico para taza de coche</v>
      </c>
      <c r="C1142" s="75">
        <f ca="1">IFERROR(__xludf.DUMMYFUNCTION("""COMPUTED_VALUE"""),89.9)</f>
        <v>89.9</v>
      </c>
      <c r="D1142" s="75">
        <f ca="1">IFERROR(__xludf.DUMMYFUNCTION("""COMPUTED_VALUE"""),0)</f>
        <v>0</v>
      </c>
      <c r="E1142" s="76">
        <f ca="1">IFERROR(__xludf.DUMMYFUNCTION("""COMPUTED_VALUE"""),89.9)</f>
        <v>89.9</v>
      </c>
      <c r="F1142" s="77">
        <f ca="1">IFERROR(__xludf.DUMMYFUNCTION("""COMPUTED_VALUE"""),10080346)</f>
        <v>10080346</v>
      </c>
      <c r="G1142" s="77" t="str">
        <f t="shared" ca="1" si="4"/>
        <v>si</v>
      </c>
    </row>
    <row r="1143" spans="1:7" ht="12.75" x14ac:dyDescent="0.2">
      <c r="A1143" s="62">
        <f ca="1">IFERROR(__xludf.DUMMYFUNCTION("""COMPUTED_VALUE"""),10080347)</f>
        <v>10080347</v>
      </c>
      <c r="B1143" s="62" t="str">
        <f ca="1">IFERROR(__xludf.DUMMYFUNCTION("""COMPUTED_VALUE"""),"Reloj multifunción y carga inalámbrica de termómetro")</f>
        <v>Reloj multifunción y carga inalámbrica de termómetro</v>
      </c>
      <c r="C1143" s="75">
        <f ca="1">IFERROR(__xludf.DUMMYFUNCTION("""COMPUTED_VALUE"""),60)</f>
        <v>60</v>
      </c>
      <c r="D1143" s="75">
        <f ca="1">IFERROR(__xludf.DUMMYFUNCTION("""COMPUTED_VALUE"""),0)</f>
        <v>0</v>
      </c>
      <c r="E1143" s="76">
        <f ca="1">IFERROR(__xludf.DUMMYFUNCTION("""COMPUTED_VALUE"""),60)</f>
        <v>60</v>
      </c>
      <c r="F1143" s="77">
        <f ca="1">IFERROR(__xludf.DUMMYFUNCTION("""COMPUTED_VALUE"""),10080347)</f>
        <v>10080347</v>
      </c>
      <c r="G1143" s="77" t="str">
        <f t="shared" ca="1" si="4"/>
        <v>si</v>
      </c>
    </row>
    <row r="1144" spans="1:7" ht="12.75" x14ac:dyDescent="0.2">
      <c r="A1144" s="62">
        <f ca="1">IFERROR(__xludf.DUMMYFUNCTION("""COMPUTED_VALUE"""),10080348)</f>
        <v>10080348</v>
      </c>
      <c r="B1144" s="62" t="str">
        <f ca="1">IFERROR(__xludf.DUMMYFUNCTION("""COMPUTED_VALUE"""),"K820 Teclado mecánico")</f>
        <v>K820 Teclado mecánico</v>
      </c>
      <c r="C1144" s="75">
        <f ca="1">IFERROR(__xludf.DUMMYFUNCTION("""COMPUTED_VALUE"""),110)</f>
        <v>110</v>
      </c>
      <c r="D1144" s="75">
        <f ca="1">IFERROR(__xludf.DUMMYFUNCTION("""COMPUTED_VALUE"""),0)</f>
        <v>0</v>
      </c>
      <c r="E1144" s="76">
        <f ca="1">IFERROR(__xludf.DUMMYFUNCTION("""COMPUTED_VALUE"""),110)</f>
        <v>110</v>
      </c>
      <c r="F1144" s="77">
        <f ca="1">IFERROR(__xludf.DUMMYFUNCTION("""COMPUTED_VALUE"""),10080348)</f>
        <v>10080348</v>
      </c>
      <c r="G1144" s="77" t="str">
        <f t="shared" ca="1" si="4"/>
        <v>si</v>
      </c>
    </row>
    <row r="1145" spans="1:7" ht="12.75" x14ac:dyDescent="0.2">
      <c r="A1145" s="62">
        <f ca="1">IFERROR(__xludf.DUMMYFUNCTION("""COMPUTED_VALUE"""),10080349)</f>
        <v>10080349</v>
      </c>
      <c r="B1145" s="62" t="str">
        <f ca="1">IFERROR(__xludf.DUMMYFUNCTION("""COMPUTED_VALUE"""),"940 green axis Mechanical Keyboard")</f>
        <v>940 green axis Mechanical Keyboard</v>
      </c>
      <c r="C1145" s="75">
        <f ca="1">IFERROR(__xludf.DUMMYFUNCTION("""COMPUTED_VALUE"""),90)</f>
        <v>90</v>
      </c>
      <c r="D1145" s="75">
        <f ca="1">IFERROR(__xludf.DUMMYFUNCTION("""COMPUTED_VALUE"""),0)</f>
        <v>0</v>
      </c>
      <c r="E1145" s="76">
        <f ca="1">IFERROR(__xludf.DUMMYFUNCTION("""COMPUTED_VALUE"""),90)</f>
        <v>90</v>
      </c>
      <c r="F1145" s="77">
        <f ca="1">IFERROR(__xludf.DUMMYFUNCTION("""COMPUTED_VALUE"""),10080349)</f>
        <v>10080349</v>
      </c>
      <c r="G1145" s="77" t="str">
        <f t="shared" ca="1" si="4"/>
        <v>si</v>
      </c>
    </row>
    <row r="1146" spans="1:7" ht="12.75" x14ac:dyDescent="0.2">
      <c r="A1146" s="62">
        <f ca="1">IFERROR(__xludf.DUMMYFUNCTION("""COMPUTED_VALUE"""),10080350)</f>
        <v>10080350</v>
      </c>
      <c r="B1146" s="62" t="str">
        <f ca="1">IFERROR(__xludf.DUMMYFUNCTION("""COMPUTED_VALUE"""),"K109 Teclado mecánico de una mano")</f>
        <v>K109 Teclado mecánico de una mano</v>
      </c>
      <c r="C1146" s="75">
        <f ca="1">IFERROR(__xludf.DUMMYFUNCTION("""COMPUTED_VALUE"""),80)</f>
        <v>80</v>
      </c>
      <c r="D1146" s="75">
        <f ca="1">IFERROR(__xludf.DUMMYFUNCTION("""COMPUTED_VALUE"""),0)</f>
        <v>0</v>
      </c>
      <c r="E1146" s="76">
        <f ca="1">IFERROR(__xludf.DUMMYFUNCTION("""COMPUTED_VALUE"""),80)</f>
        <v>80</v>
      </c>
      <c r="F1146" s="77">
        <f ca="1">IFERROR(__xludf.DUMMYFUNCTION("""COMPUTED_VALUE"""),10080350)</f>
        <v>10080350</v>
      </c>
      <c r="G1146" s="77" t="str">
        <f t="shared" ca="1" si="4"/>
        <v>si</v>
      </c>
    </row>
    <row r="1147" spans="1:7" ht="12.75" x14ac:dyDescent="0.2">
      <c r="A1147" s="62">
        <f ca="1">IFERROR(__xludf.DUMMYFUNCTION("""COMPUTED_VALUE"""),10080351)</f>
        <v>10080351</v>
      </c>
      <c r="B1147" s="62" t="str">
        <f ca="1">IFERROR(__xludf.DUMMYFUNCTION("""COMPUTED_VALUE"""),"10Gbps Type C 3.1 port 5 black, 5 silver, 5 blue ")</f>
        <v xml:space="preserve">10Gbps Type C 3.1 port 5 black, 5 silver, 5 blue </v>
      </c>
      <c r="C1147" s="75">
        <f ca="1">IFERROR(__xludf.DUMMYFUNCTION("""COMPUTED_VALUE"""),120)</f>
        <v>120</v>
      </c>
      <c r="D1147" s="75">
        <f ca="1">IFERROR(__xludf.DUMMYFUNCTION("""COMPUTED_VALUE"""),0)</f>
        <v>0</v>
      </c>
      <c r="E1147" s="76">
        <f ca="1">IFERROR(__xludf.DUMMYFUNCTION("""COMPUTED_VALUE"""),120)</f>
        <v>120</v>
      </c>
      <c r="F1147" s="77">
        <f ca="1">IFERROR(__xludf.DUMMYFUNCTION("""COMPUTED_VALUE"""),10080351)</f>
        <v>10080351</v>
      </c>
      <c r="G1147" s="77" t="str">
        <f t="shared" ca="1" si="4"/>
        <v>si</v>
      </c>
    </row>
    <row r="1148" spans="1:7" ht="12.75" x14ac:dyDescent="0.2">
      <c r="A1148" s="62">
        <f ca="1">IFERROR(__xludf.DUMMYFUNCTION("""COMPUTED_VALUE"""),10080352)</f>
        <v>10080352</v>
      </c>
      <c r="B1148" s="62" t="str">
        <f ca="1">IFERROR(__xludf.DUMMYFUNCTION("""COMPUTED_VALUE"""),"10 en 1 Hub")</f>
        <v>10 en 1 Hub</v>
      </c>
      <c r="C1148" s="75">
        <f ca="1">IFERROR(__xludf.DUMMYFUNCTION("""COMPUTED_VALUE"""),130)</f>
        <v>130</v>
      </c>
      <c r="D1148" s="75">
        <f ca="1">IFERROR(__xludf.DUMMYFUNCTION("""COMPUTED_VALUE"""),0)</f>
        <v>0</v>
      </c>
      <c r="E1148" s="76">
        <f ca="1">IFERROR(__xludf.DUMMYFUNCTION("""COMPUTED_VALUE"""),130)</f>
        <v>130</v>
      </c>
      <c r="F1148" s="77">
        <f ca="1">IFERROR(__xludf.DUMMYFUNCTION("""COMPUTED_VALUE"""),10080352)</f>
        <v>10080352</v>
      </c>
      <c r="G1148" s="77" t="str">
        <f t="shared" ca="1" si="4"/>
        <v>si</v>
      </c>
    </row>
    <row r="1149" spans="1:7" ht="12.75" x14ac:dyDescent="0.2">
      <c r="A1149" s="62">
        <f ca="1">IFERROR(__xludf.DUMMYFUNCTION("""COMPUTED_VALUE"""),10080353)</f>
        <v>10080353</v>
      </c>
      <c r="B1149" s="62" t="str">
        <f ca="1">IFERROR(__xludf.DUMMYFUNCTION("""COMPUTED_VALUE"""),"Multifunctional Car Mount ")</f>
        <v xml:space="preserve">Multifunctional Car Mount </v>
      </c>
      <c r="C1149" s="75">
        <f ca="1">IFERROR(__xludf.DUMMYFUNCTION("""COMPUTED_VALUE"""),19.9)</f>
        <v>19.899999999999999</v>
      </c>
      <c r="D1149" s="75">
        <f ca="1">IFERROR(__xludf.DUMMYFUNCTION("""COMPUTED_VALUE"""),0)</f>
        <v>0</v>
      </c>
      <c r="E1149" s="76">
        <f ca="1">IFERROR(__xludf.DUMMYFUNCTION("""COMPUTED_VALUE"""),19.9)</f>
        <v>19.899999999999999</v>
      </c>
      <c r="F1149" s="77">
        <f ca="1">IFERROR(__xludf.DUMMYFUNCTION("""COMPUTED_VALUE"""),10080353)</f>
        <v>10080353</v>
      </c>
      <c r="G1149" s="77" t="str">
        <f t="shared" ca="1" si="4"/>
        <v>si</v>
      </c>
    </row>
    <row r="1150" spans="1:7" ht="12.75" x14ac:dyDescent="0.2">
      <c r="A1150" s="62">
        <f ca="1">IFERROR(__xludf.DUMMYFUNCTION("""COMPUTED_VALUE"""),10080354)</f>
        <v>10080354</v>
      </c>
      <c r="B1150" s="62" t="str">
        <f ca="1">IFERROR(__xludf.DUMMYFUNCTION("""COMPUTED_VALUE"""),"Cable Tipo C a DP 1.8M Negro")</f>
        <v>Cable Tipo C a DP 1.8M Negro</v>
      </c>
      <c r="C1150" s="75">
        <f ca="1">IFERROR(__xludf.DUMMYFUNCTION("""COMPUTED_VALUE"""),50)</f>
        <v>50</v>
      </c>
      <c r="D1150" s="75">
        <f ca="1">IFERROR(__xludf.DUMMYFUNCTION("""COMPUTED_VALUE"""),0)</f>
        <v>0</v>
      </c>
      <c r="E1150" s="76">
        <f ca="1">IFERROR(__xludf.DUMMYFUNCTION("""COMPUTED_VALUE"""),50)</f>
        <v>50</v>
      </c>
      <c r="F1150" s="77">
        <f ca="1">IFERROR(__xludf.DUMMYFUNCTION("""COMPUTED_VALUE"""),10080354)</f>
        <v>10080354</v>
      </c>
      <c r="G1150" s="77" t="str">
        <f t="shared" ca="1" si="4"/>
        <v>si</v>
      </c>
    </row>
    <row r="1151" spans="1:7" ht="12.75" x14ac:dyDescent="0.2">
      <c r="A1151" s="62"/>
      <c r="B1151" s="62" t="str">
        <f ca="1">IFERROR(__xludf.DUMMYFUNCTION("""COMPUTED_VALUE"""),"Soporte para portátil aleación de aluminio color plata")</f>
        <v>Soporte para portátil aleación de aluminio color plata</v>
      </c>
      <c r="C1151" s="75">
        <f ca="1">IFERROR(__xludf.DUMMYFUNCTION("""COMPUTED_VALUE"""),60)</f>
        <v>60</v>
      </c>
      <c r="D1151" s="75">
        <f ca="1">IFERROR(__xludf.DUMMYFUNCTION("""COMPUTED_VALUE"""),0)</f>
        <v>0</v>
      </c>
      <c r="E1151" s="76">
        <f ca="1">IFERROR(__xludf.DUMMYFUNCTION("""COMPUTED_VALUE"""),60)</f>
        <v>60</v>
      </c>
      <c r="F1151" s="77"/>
      <c r="G1151" s="77" t="str">
        <f t="shared" si="4"/>
        <v>si</v>
      </c>
    </row>
    <row r="1152" spans="1:7" ht="12.75" x14ac:dyDescent="0.2">
      <c r="A1152" s="62">
        <f ca="1">IFERROR(__xludf.DUMMYFUNCTION("""COMPUTED_VALUE"""),10080313)</f>
        <v>10080313</v>
      </c>
      <c r="B1152" s="62" t="str">
        <f ca="1">IFERROR(__xludf.DUMMYFUNCTION("""COMPUTED_VALUE"""),"1.5M Iphone cable+ 20W PD charger")</f>
        <v>1.5M Iphone cable+ 20W PD charger</v>
      </c>
      <c r="C1152" s="75">
        <f ca="1">IFERROR(__xludf.DUMMYFUNCTION("""COMPUTED_VALUE"""),100)</f>
        <v>100</v>
      </c>
      <c r="D1152" s="75">
        <f ca="1">IFERROR(__xludf.DUMMYFUNCTION("""COMPUTED_VALUE"""),0)</f>
        <v>0</v>
      </c>
      <c r="E1152" s="76">
        <f ca="1">IFERROR(__xludf.DUMMYFUNCTION("""COMPUTED_VALUE"""),100)</f>
        <v>100</v>
      </c>
      <c r="F1152" s="77">
        <f ca="1">IFERROR(__xludf.DUMMYFUNCTION("""COMPUTED_VALUE"""),10080313)</f>
        <v>10080313</v>
      </c>
      <c r="G1152" s="77" t="str">
        <f t="shared" ca="1" si="4"/>
        <v>si</v>
      </c>
    </row>
    <row r="1153" spans="1:7" ht="12.75" x14ac:dyDescent="0.2">
      <c r="A1153" s="62">
        <f ca="1">IFERROR(__xludf.DUMMYFUNCTION("""COMPUTED_VALUE"""),10080356)</f>
        <v>10080356</v>
      </c>
      <c r="B1153" s="62" t="str">
        <f ca="1">IFERROR(__xludf.DUMMYFUNCTION("""COMPUTED_VALUE"""),"Soporte vertical para computadora portátil Soporte de almacenamiento vertical doble")</f>
        <v>Soporte vertical para computadora portátil Soporte de almacenamiento vertical doble</v>
      </c>
      <c r="C1153" s="75">
        <f ca="1">IFERROR(__xludf.DUMMYFUNCTION("""COMPUTED_VALUE"""),70)</f>
        <v>70</v>
      </c>
      <c r="D1153" s="75">
        <f ca="1">IFERROR(__xludf.DUMMYFUNCTION("""COMPUTED_VALUE"""),0)</f>
        <v>0</v>
      </c>
      <c r="E1153" s="76">
        <f ca="1">IFERROR(__xludf.DUMMYFUNCTION("""COMPUTED_VALUE"""),70)</f>
        <v>70</v>
      </c>
      <c r="F1153" s="77">
        <f ca="1">IFERROR(__xludf.DUMMYFUNCTION("""COMPUTED_VALUE"""),10080356)</f>
        <v>10080356</v>
      </c>
      <c r="G1153" s="77" t="str">
        <f t="shared" ca="1" si="4"/>
        <v>si</v>
      </c>
    </row>
    <row r="1154" spans="1:7" ht="12.75" x14ac:dyDescent="0.2">
      <c r="A1154" s="62">
        <f ca="1">IFERROR(__xludf.DUMMYFUNCTION("""COMPUTED_VALUE"""),10080357)</f>
        <v>10080357</v>
      </c>
      <c r="B1154" s="62" t="str">
        <f ca="1">IFERROR(__xludf.DUMMYFUNCTION("""COMPUTED_VALUE"""),"cargador inalámbrico+1 USB 3.0+ 3 USD 2.0 estación base de almacenamiento de escritoriotop storage base station")</f>
        <v>cargador inalámbrico+1 USB 3.0+ 3 USD 2.0 estación base de almacenamiento de escritoriotop storage base station</v>
      </c>
      <c r="C1154" s="75">
        <f ca="1">IFERROR(__xludf.DUMMYFUNCTION("""COMPUTED_VALUE"""),249.9)</f>
        <v>249.9</v>
      </c>
      <c r="D1154" s="75">
        <f ca="1">IFERROR(__xludf.DUMMYFUNCTION("""COMPUTED_VALUE"""),0)</f>
        <v>0</v>
      </c>
      <c r="E1154" s="76">
        <f ca="1">IFERROR(__xludf.DUMMYFUNCTION("""COMPUTED_VALUE"""),249.9)</f>
        <v>249.9</v>
      </c>
      <c r="F1154" s="77">
        <f ca="1">IFERROR(__xludf.DUMMYFUNCTION("""COMPUTED_VALUE"""),10080357)</f>
        <v>10080357</v>
      </c>
      <c r="G1154" s="77" t="str">
        <f t="shared" ca="1" si="4"/>
        <v>si</v>
      </c>
    </row>
    <row r="1155" spans="1:7" ht="12.75" x14ac:dyDescent="0.2">
      <c r="A1155" s="62">
        <f ca="1">IFERROR(__xludf.DUMMYFUNCTION("""COMPUTED_VALUE"""),10080358)</f>
        <v>10080358</v>
      </c>
      <c r="B1155" s="62" t="str">
        <f ca="1">IFERROR(__xludf.DUMMYFUNCTION("""COMPUTED_VALUE"""),"Pencil Samsung Note 10 ORG")</f>
        <v>Pencil Samsung Note 10 ORG</v>
      </c>
      <c r="C1155" s="75">
        <f ca="1">IFERROR(__xludf.DUMMYFUNCTION("""COMPUTED_VALUE"""),200)</f>
        <v>200</v>
      </c>
      <c r="D1155" s="75">
        <f ca="1">IFERROR(__xludf.DUMMYFUNCTION("""COMPUTED_VALUE"""),0)</f>
        <v>0</v>
      </c>
      <c r="E1155" s="76">
        <f ca="1">IFERROR(__xludf.DUMMYFUNCTION("""COMPUTED_VALUE"""),200)</f>
        <v>200</v>
      </c>
      <c r="F1155" s="77">
        <f ca="1">IFERROR(__xludf.DUMMYFUNCTION("""COMPUTED_VALUE"""),10080358)</f>
        <v>10080358</v>
      </c>
      <c r="G1155" s="77" t="str">
        <f t="shared" ca="1" si="4"/>
        <v>si</v>
      </c>
    </row>
    <row r="1156" spans="1:7" ht="12.75" x14ac:dyDescent="0.2">
      <c r="A1156" s="62">
        <f ca="1">IFERROR(__xludf.DUMMYFUNCTION("""COMPUTED_VALUE"""),10080359)</f>
        <v>10080359</v>
      </c>
      <c r="B1156" s="62" t="str">
        <f ca="1">IFERROR(__xludf.DUMMYFUNCTION("""COMPUTED_VALUE"""),"Pencil Samsung Note 10 Plus ORG")</f>
        <v>Pencil Samsung Note 10 Plus ORG</v>
      </c>
      <c r="C1156" s="75">
        <f ca="1">IFERROR(__xludf.DUMMYFUNCTION("""COMPUTED_VALUE"""),200)</f>
        <v>200</v>
      </c>
      <c r="D1156" s="75">
        <f ca="1">IFERROR(__xludf.DUMMYFUNCTION("""COMPUTED_VALUE"""),0)</f>
        <v>0</v>
      </c>
      <c r="E1156" s="76">
        <f ca="1">IFERROR(__xludf.DUMMYFUNCTION("""COMPUTED_VALUE"""),200)</f>
        <v>200</v>
      </c>
      <c r="F1156" s="77">
        <f ca="1">IFERROR(__xludf.DUMMYFUNCTION("""COMPUTED_VALUE"""),10080359)</f>
        <v>10080359</v>
      </c>
      <c r="G1156" s="77" t="str">
        <f t="shared" ca="1" si="4"/>
        <v>si</v>
      </c>
    </row>
    <row r="1157" spans="1:7" ht="12.75" x14ac:dyDescent="0.2">
      <c r="A1157" s="62">
        <f ca="1">IFERROR(__xludf.DUMMYFUNCTION("""COMPUTED_VALUE"""),10080360)</f>
        <v>10080360</v>
      </c>
      <c r="B1157" s="62" t="str">
        <f ca="1">IFERROR(__xludf.DUMMYFUNCTION("""COMPUTED_VALUE"""),"Pencil Samsung Note 20 ORG")</f>
        <v>Pencil Samsung Note 20 ORG</v>
      </c>
      <c r="C1157" s="75">
        <f ca="1">IFERROR(__xludf.DUMMYFUNCTION("""COMPUTED_VALUE"""),280)</f>
        <v>280</v>
      </c>
      <c r="D1157" s="75">
        <f ca="1">IFERROR(__xludf.DUMMYFUNCTION("""COMPUTED_VALUE"""),0)</f>
        <v>0</v>
      </c>
      <c r="E1157" s="76">
        <f ca="1">IFERROR(__xludf.DUMMYFUNCTION("""COMPUTED_VALUE"""),280)</f>
        <v>280</v>
      </c>
      <c r="F1157" s="77">
        <f ca="1">IFERROR(__xludf.DUMMYFUNCTION("""COMPUTED_VALUE"""),10080360)</f>
        <v>10080360</v>
      </c>
      <c r="G1157" s="77" t="str">
        <f t="shared" ca="1" si="4"/>
        <v>si</v>
      </c>
    </row>
    <row r="1158" spans="1:7" ht="12.75" x14ac:dyDescent="0.2">
      <c r="A1158" s="62">
        <f ca="1">IFERROR(__xludf.DUMMYFUNCTION("""COMPUTED_VALUE"""),10080361)</f>
        <v>10080361</v>
      </c>
      <c r="B1158" s="62" t="str">
        <f ca="1">IFERROR(__xludf.DUMMYFUNCTION("""COMPUTED_VALUE"""),"Pencil Samsung Note 20 Plus ORG")</f>
        <v>Pencil Samsung Note 20 Plus ORG</v>
      </c>
      <c r="C1158" s="75">
        <f ca="1">IFERROR(__xludf.DUMMYFUNCTION("""COMPUTED_VALUE"""),280)</f>
        <v>280</v>
      </c>
      <c r="D1158" s="75">
        <f ca="1">IFERROR(__xludf.DUMMYFUNCTION("""COMPUTED_VALUE"""),0)</f>
        <v>0</v>
      </c>
      <c r="E1158" s="76">
        <f ca="1">IFERROR(__xludf.DUMMYFUNCTION("""COMPUTED_VALUE"""),280)</f>
        <v>280</v>
      </c>
      <c r="F1158" s="77">
        <f ca="1">IFERROR(__xludf.DUMMYFUNCTION("""COMPUTED_VALUE"""),10080361)</f>
        <v>10080361</v>
      </c>
      <c r="G1158" s="77" t="str">
        <f t="shared" ca="1" si="4"/>
        <v>si</v>
      </c>
    </row>
    <row r="1159" spans="1:7" ht="12.75" x14ac:dyDescent="0.2">
      <c r="A1159" s="62">
        <f ca="1">IFERROR(__xludf.DUMMYFUNCTION("""COMPUTED_VALUE"""),10010321)</f>
        <v>10010321</v>
      </c>
      <c r="B1159" s="62" t="str">
        <f ca="1">IFERROR(__xludf.DUMMYFUNCTION("""COMPUTED_VALUE"""),"Samsung SM-T700 LCD  + Tactil")</f>
        <v>Samsung SM-T700 LCD  + Tactil</v>
      </c>
      <c r="C1159" s="75">
        <f ca="1">IFERROR(__xludf.DUMMYFUNCTION("""COMPUTED_VALUE"""),590)</f>
        <v>590</v>
      </c>
      <c r="D1159" s="75">
        <f ca="1">IFERROR(__xludf.DUMMYFUNCTION("""COMPUTED_VALUE"""),0)</f>
        <v>0</v>
      </c>
      <c r="E1159" s="76">
        <f ca="1">IFERROR(__xludf.DUMMYFUNCTION("""COMPUTED_VALUE"""),590)</f>
        <v>590</v>
      </c>
      <c r="F1159" s="77">
        <f ca="1">IFERROR(__xludf.DUMMYFUNCTION("""COMPUTED_VALUE"""),10010321)</f>
        <v>10010321</v>
      </c>
      <c r="G1159" s="77" t="str">
        <f t="shared" ca="1" si="4"/>
        <v>si</v>
      </c>
    </row>
    <row r="1160" spans="1:7" ht="12.75" x14ac:dyDescent="0.2">
      <c r="A1160" s="62">
        <f ca="1">IFERROR(__xludf.DUMMYFUNCTION("""COMPUTED_VALUE"""),10160156)</f>
        <v>10160156</v>
      </c>
      <c r="B1160" s="62" t="str">
        <f ca="1">IFERROR(__xludf.DUMMYFUNCTION("""COMPUTED_VALUE"""),"Samsung SM-T500 - T505 LCD  + tactil")</f>
        <v>Samsung SM-T500 - T505 LCD  + tactil</v>
      </c>
      <c r="C1160" s="75">
        <f ca="1">IFERROR(__xludf.DUMMYFUNCTION("""COMPUTED_VALUE"""),340)</f>
        <v>340</v>
      </c>
      <c r="D1160" s="75">
        <f ca="1">IFERROR(__xludf.DUMMYFUNCTION("""COMPUTED_VALUE"""),50)</f>
        <v>50</v>
      </c>
      <c r="E1160" s="76">
        <f ca="1">IFERROR(__xludf.DUMMYFUNCTION("""COMPUTED_VALUE"""),390)</f>
        <v>390</v>
      </c>
      <c r="F1160" s="77">
        <f ca="1">IFERROR(__xludf.DUMMYFUNCTION("""COMPUTED_VALUE"""),10160156)</f>
        <v>10160156</v>
      </c>
      <c r="G1160" s="77" t="str">
        <f t="shared" ca="1" si="4"/>
        <v>si</v>
      </c>
    </row>
    <row r="1161" spans="1:7" ht="12.75" x14ac:dyDescent="0.2">
      <c r="A1161" s="62">
        <f ca="1">IFERROR(__xludf.DUMMYFUNCTION("""COMPUTED_VALUE"""),10010410)</f>
        <v>10010410</v>
      </c>
      <c r="B1161" s="62" t="str">
        <f ca="1">IFERROR(__xludf.DUMMYFUNCTION("""COMPUTED_VALUE"""),"Samsung P600 / P601 / P605 LCD  + tactil")</f>
        <v>Samsung P600 / P601 / P605 LCD  + tactil</v>
      </c>
      <c r="C1161" s="75">
        <f ca="1">IFERROR(__xludf.DUMMYFUNCTION("""COMPUTED_VALUE"""),490)</f>
        <v>490</v>
      </c>
      <c r="D1161" s="75">
        <f ca="1">IFERROR(__xludf.DUMMYFUNCTION("""COMPUTED_VALUE"""),50)</f>
        <v>50</v>
      </c>
      <c r="E1161" s="76">
        <f ca="1">IFERROR(__xludf.DUMMYFUNCTION("""COMPUTED_VALUE"""),540)</f>
        <v>540</v>
      </c>
      <c r="F1161" s="77">
        <f ca="1">IFERROR(__xludf.DUMMYFUNCTION("""COMPUTED_VALUE"""),10010410)</f>
        <v>10010410</v>
      </c>
      <c r="G1161" s="77" t="str">
        <f t="shared" ca="1" si="4"/>
        <v>si</v>
      </c>
    </row>
    <row r="1162" spans="1:7" ht="12.75" x14ac:dyDescent="0.2">
      <c r="A1162" s="62">
        <f ca="1">IFERROR(__xludf.DUMMYFUNCTION("""COMPUTED_VALUE"""),10010411)</f>
        <v>10010411</v>
      </c>
      <c r="B1162" s="62" t="str">
        <f ca="1">IFERROR(__xludf.DUMMYFUNCTION("""COMPUTED_VALUE"""),"Samsung SM-T810 LCD  + Tactil")</f>
        <v>Samsung SM-T810 LCD  + Tactil</v>
      </c>
      <c r="C1162" s="75">
        <f ca="1">IFERROR(__xludf.DUMMYFUNCTION("""COMPUTED_VALUE"""),800)</f>
        <v>800</v>
      </c>
      <c r="D1162" s="75">
        <f ca="1">IFERROR(__xludf.DUMMYFUNCTION("""COMPUTED_VALUE"""),50)</f>
        <v>50</v>
      </c>
      <c r="E1162" s="76">
        <f ca="1">IFERROR(__xludf.DUMMYFUNCTION("""COMPUTED_VALUE"""),850)</f>
        <v>850</v>
      </c>
      <c r="F1162" s="77">
        <f ca="1">IFERROR(__xludf.DUMMYFUNCTION("""COMPUTED_VALUE"""),10010411)</f>
        <v>10010411</v>
      </c>
      <c r="G1162" s="77" t="str">
        <f t="shared" ca="1" si="4"/>
        <v>si</v>
      </c>
    </row>
    <row r="1163" spans="1:7" ht="12.75" x14ac:dyDescent="0.2">
      <c r="A1163" s="62">
        <f ca="1">IFERROR(__xludf.DUMMYFUNCTION("""COMPUTED_VALUE"""),10010412)</f>
        <v>10010412</v>
      </c>
      <c r="B1163" s="62" t="str">
        <f ca="1">IFERROR(__xludf.DUMMYFUNCTION("""COMPUTED_VALUE"""),"Samsung SM-T970 LCD  + Tactil")</f>
        <v>Samsung SM-T970 LCD  + Tactil</v>
      </c>
      <c r="C1163" s="75">
        <f ca="1">IFERROR(__xludf.DUMMYFUNCTION("""COMPUTED_VALUE"""),1900)</f>
        <v>1900</v>
      </c>
      <c r="D1163" s="75">
        <f ca="1">IFERROR(__xludf.DUMMYFUNCTION("""COMPUTED_VALUE"""),50)</f>
        <v>50</v>
      </c>
      <c r="E1163" s="76">
        <f ca="1">IFERROR(__xludf.DUMMYFUNCTION("""COMPUTED_VALUE"""),1950)</f>
        <v>1950</v>
      </c>
      <c r="F1163" s="77">
        <f ca="1">IFERROR(__xludf.DUMMYFUNCTION("""COMPUTED_VALUE"""),10010412)</f>
        <v>10010412</v>
      </c>
      <c r="G1163" s="77" t="str">
        <f t="shared" ca="1" si="4"/>
        <v>si</v>
      </c>
    </row>
    <row r="1164" spans="1:7" ht="12.75" x14ac:dyDescent="0.2">
      <c r="A1164" s="62">
        <f ca="1">IFERROR(__xludf.DUMMYFUNCTION("""COMPUTED_VALUE"""),10010334)</f>
        <v>10010334</v>
      </c>
      <c r="B1164" s="62" t="str">
        <f ca="1">IFERROR(__xludf.DUMMYFUNCTION("""COMPUTED_VALUE"""),"Samsung Tab S5e SMT720 LCD + Tactil")</f>
        <v>Samsung Tab S5e SMT720 LCD + Tactil</v>
      </c>
      <c r="C1164" s="75">
        <f ca="1">IFERROR(__xludf.DUMMYFUNCTION("""COMPUTED_VALUE"""),1140)</f>
        <v>1140</v>
      </c>
      <c r="D1164" s="75">
        <f ca="1">IFERROR(__xludf.DUMMYFUNCTION("""COMPUTED_VALUE"""),50)</f>
        <v>50</v>
      </c>
      <c r="E1164" s="76">
        <f ca="1">IFERROR(__xludf.DUMMYFUNCTION("""COMPUTED_VALUE"""),1190)</f>
        <v>1190</v>
      </c>
      <c r="F1164" s="77">
        <f ca="1">IFERROR(__xludf.DUMMYFUNCTION("""COMPUTED_VALUE"""),10010334)</f>
        <v>10010334</v>
      </c>
      <c r="G1164" s="77" t="str">
        <f t="shared" ca="1" si="4"/>
        <v>si</v>
      </c>
    </row>
    <row r="1165" spans="1:7" ht="12.75" x14ac:dyDescent="0.2">
      <c r="A1165" s="62">
        <f ca="1">IFERROR(__xludf.DUMMYFUNCTION("""COMPUTED_VALUE"""),10010392)</f>
        <v>10010392</v>
      </c>
      <c r="B1165" s="62" t="str">
        <f ca="1">IFERROR(__xludf.DUMMYFUNCTION("""COMPUTED_VALUE"""),"Samsung SM -T290 - T295 LCD + Tactil")</f>
        <v>Samsung SM -T290 - T295 LCD + Tactil</v>
      </c>
      <c r="C1165" s="75">
        <f ca="1">IFERROR(__xludf.DUMMYFUNCTION("""COMPUTED_VALUE"""),210)</f>
        <v>210</v>
      </c>
      <c r="D1165" s="75">
        <f ca="1">IFERROR(__xludf.DUMMYFUNCTION("""COMPUTED_VALUE"""),50)</f>
        <v>50</v>
      </c>
      <c r="E1165" s="76">
        <f ca="1">IFERROR(__xludf.DUMMYFUNCTION("""COMPUTED_VALUE"""),260)</f>
        <v>260</v>
      </c>
      <c r="F1165" s="77">
        <f ca="1">IFERROR(__xludf.DUMMYFUNCTION("""COMPUTED_VALUE"""),10010392)</f>
        <v>10010392</v>
      </c>
      <c r="G1165" s="77" t="str">
        <f t="shared" ca="1" si="4"/>
        <v>si</v>
      </c>
    </row>
    <row r="1166" spans="1:7" ht="12.75" x14ac:dyDescent="0.2">
      <c r="A1166" s="62">
        <f ca="1">IFERROR(__xludf.DUMMYFUNCTION("""COMPUTED_VALUE"""),10010309)</f>
        <v>10010309</v>
      </c>
      <c r="B1166" s="62" t="str">
        <f ca="1">IFERROR(__xludf.DUMMYFUNCTION("""COMPUTED_VALUE"""),"Samsung Galaxy Tab P1000  LCD ")</f>
        <v xml:space="preserve">Samsung Galaxy Tab P1000  LCD </v>
      </c>
      <c r="C1166" s="75">
        <f ca="1">IFERROR(__xludf.DUMMYFUNCTION("""COMPUTED_VALUE"""),160)</f>
        <v>160</v>
      </c>
      <c r="D1166" s="75">
        <f ca="1">IFERROR(__xludf.DUMMYFUNCTION("""COMPUTED_VALUE"""),50)</f>
        <v>50</v>
      </c>
      <c r="E1166" s="76">
        <f ca="1">IFERROR(__xludf.DUMMYFUNCTION("""COMPUTED_VALUE"""),210)</f>
        <v>210</v>
      </c>
      <c r="F1166" s="77">
        <f ca="1">IFERROR(__xludf.DUMMYFUNCTION("""COMPUTED_VALUE"""),10010309)</f>
        <v>10010309</v>
      </c>
      <c r="G1166" s="77" t="str">
        <f t="shared" ca="1" si="4"/>
        <v>si</v>
      </c>
    </row>
    <row r="1167" spans="1:7" ht="12.75" x14ac:dyDescent="0.2">
      <c r="A1167" s="62">
        <f ca="1">IFERROR(__xludf.DUMMYFUNCTION("""COMPUTED_VALUE"""),10010310)</f>
        <v>10010310</v>
      </c>
      <c r="B1167" s="62" t="str">
        <f ca="1">IFERROR(__xludf.DUMMYFUNCTION("""COMPUTED_VALUE"""),"Samsung Galaxy Tab P1000  TACTIL")</f>
        <v>Samsung Galaxy Tab P1000  TACTIL</v>
      </c>
      <c r="C1167" s="75">
        <f ca="1">IFERROR(__xludf.DUMMYFUNCTION("""COMPUTED_VALUE"""),90)</f>
        <v>90</v>
      </c>
      <c r="D1167" s="75">
        <f ca="1">IFERROR(__xludf.DUMMYFUNCTION("""COMPUTED_VALUE"""),50)</f>
        <v>50</v>
      </c>
      <c r="E1167" s="76">
        <f ca="1">IFERROR(__xludf.DUMMYFUNCTION("""COMPUTED_VALUE"""),140)</f>
        <v>140</v>
      </c>
      <c r="F1167" s="77">
        <f ca="1">IFERROR(__xludf.DUMMYFUNCTION("""COMPUTED_VALUE"""),10010310)</f>
        <v>10010310</v>
      </c>
      <c r="G1167" s="77" t="str">
        <f t="shared" ca="1" si="4"/>
        <v>si</v>
      </c>
    </row>
    <row r="1168" spans="1:7" ht="12.75" x14ac:dyDescent="0.2">
      <c r="A1168" s="62">
        <f ca="1">IFERROR(__xludf.DUMMYFUNCTION("""COMPUTED_VALUE"""),10010319)</f>
        <v>10010319</v>
      </c>
      <c r="B1168" s="62" t="str">
        <f ca="1">IFERROR(__xludf.DUMMYFUNCTION("""COMPUTED_VALUE"""),"Samsung Galaxy Tab4 7.0 T230 T235 LCD")</f>
        <v>Samsung Galaxy Tab4 7.0 T230 T235 LCD</v>
      </c>
      <c r="C1168" s="75">
        <f ca="1">IFERROR(__xludf.DUMMYFUNCTION("""COMPUTED_VALUE"""),190)</f>
        <v>190</v>
      </c>
      <c r="D1168" s="75">
        <f ca="1">IFERROR(__xludf.DUMMYFUNCTION("""COMPUTED_VALUE"""),50)</f>
        <v>50</v>
      </c>
      <c r="E1168" s="76">
        <f ca="1">IFERROR(__xludf.DUMMYFUNCTION("""COMPUTED_VALUE"""),240)</f>
        <v>240</v>
      </c>
      <c r="F1168" s="77">
        <f ca="1">IFERROR(__xludf.DUMMYFUNCTION("""COMPUTED_VALUE"""),10010319)</f>
        <v>10010319</v>
      </c>
      <c r="G1168" s="77" t="str">
        <f t="shared" ca="1" si="4"/>
        <v>si</v>
      </c>
    </row>
    <row r="1169" spans="1:7" ht="12.75" x14ac:dyDescent="0.2">
      <c r="A1169" s="62">
        <f ca="1">IFERROR(__xludf.DUMMYFUNCTION("""COMPUTED_VALUE"""),10010320)</f>
        <v>10010320</v>
      </c>
      <c r="B1169" s="62" t="str">
        <f ca="1">IFERROR(__xludf.DUMMYFUNCTION("""COMPUTED_VALUE"""),"Samsung Galaxy Tab4 7.0 T230 T235 TACTIL")</f>
        <v>Samsung Galaxy Tab4 7.0 T230 T235 TACTIL</v>
      </c>
      <c r="C1169" s="75">
        <f ca="1">IFERROR(__xludf.DUMMYFUNCTION("""COMPUTED_VALUE"""),90)</f>
        <v>90</v>
      </c>
      <c r="D1169" s="75">
        <f ca="1">IFERROR(__xludf.DUMMYFUNCTION("""COMPUTED_VALUE"""),50)</f>
        <v>50</v>
      </c>
      <c r="E1169" s="76">
        <f ca="1">IFERROR(__xludf.DUMMYFUNCTION("""COMPUTED_VALUE"""),140)</f>
        <v>140</v>
      </c>
      <c r="F1169" s="77">
        <f ca="1">IFERROR(__xludf.DUMMYFUNCTION("""COMPUTED_VALUE"""),10010320)</f>
        <v>10010320</v>
      </c>
      <c r="G1169" s="77" t="str">
        <f t="shared" ca="1" si="4"/>
        <v>si</v>
      </c>
    </row>
    <row r="1170" spans="1:7" ht="12.75" x14ac:dyDescent="0.2">
      <c r="A1170" s="62">
        <f ca="1">IFERROR(__xludf.DUMMYFUNCTION("""COMPUTED_VALUE"""),10010327)</f>
        <v>10010327</v>
      </c>
      <c r="B1170" s="62" t="str">
        <f ca="1">IFERROR(__xludf.DUMMYFUNCTION("""COMPUTED_VALUE"""),"Samsung Tab A 8.0 Sm-t350 T355 LCD  + TACTIL")</f>
        <v>Samsung Tab A 8.0 Sm-t350 T355 LCD  + TACTIL</v>
      </c>
      <c r="C1170" s="75">
        <f ca="1">IFERROR(__xludf.DUMMYFUNCTION("""COMPUTED_VALUE"""),230)</f>
        <v>230</v>
      </c>
      <c r="D1170" s="75">
        <f ca="1">IFERROR(__xludf.DUMMYFUNCTION("""COMPUTED_VALUE"""),50)</f>
        <v>50</v>
      </c>
      <c r="E1170" s="76">
        <f ca="1">IFERROR(__xludf.DUMMYFUNCTION("""COMPUTED_VALUE"""),280)</f>
        <v>280</v>
      </c>
      <c r="F1170" s="77">
        <f ca="1">IFERROR(__xludf.DUMMYFUNCTION("""COMPUTED_VALUE"""),10010327)</f>
        <v>10010327</v>
      </c>
      <c r="G1170" s="77" t="str">
        <f t="shared" ca="1" si="4"/>
        <v>si</v>
      </c>
    </row>
    <row r="1171" spans="1:7" ht="12.75" x14ac:dyDescent="0.2">
      <c r="A1171" s="62">
        <f ca="1">IFERROR(__xludf.DUMMYFUNCTION("""COMPUTED_VALUE"""),10010342)</f>
        <v>10010342</v>
      </c>
      <c r="B1171" s="62" t="str">
        <f ca="1">IFERROR(__xludf.DUMMYFUNCTION("""COMPUTED_VALUE"""),"SamsungTab A 8.0 Sm-t350 T355 TACTIL")</f>
        <v>SamsungTab A 8.0 Sm-t350 T355 TACTIL</v>
      </c>
      <c r="C1171" s="75">
        <f ca="1">IFERROR(__xludf.DUMMYFUNCTION("""COMPUTED_VALUE"""),100)</f>
        <v>100</v>
      </c>
      <c r="D1171" s="75">
        <f ca="1">IFERROR(__xludf.DUMMYFUNCTION("""COMPUTED_VALUE"""),50)</f>
        <v>50</v>
      </c>
      <c r="E1171" s="76">
        <f ca="1">IFERROR(__xludf.DUMMYFUNCTION("""COMPUTED_VALUE"""),150)</f>
        <v>150</v>
      </c>
      <c r="F1171" s="77">
        <f ca="1">IFERROR(__xludf.DUMMYFUNCTION("""COMPUTED_VALUE"""),10010342)</f>
        <v>10010342</v>
      </c>
      <c r="G1171" s="77" t="str">
        <f t="shared" ca="1" si="4"/>
        <v>si</v>
      </c>
    </row>
    <row r="1172" spans="1:7" ht="12.75" x14ac:dyDescent="0.2">
      <c r="A1172" s="62">
        <f ca="1">IFERROR(__xludf.DUMMYFUNCTION("""COMPUTED_VALUE"""),10010331)</f>
        <v>10010331</v>
      </c>
      <c r="B1172" s="62" t="str">
        <f ca="1">IFERROR(__xludf.DUMMYFUNCTION("""COMPUTED_VALUE"""),"Samsung Tab Pro 8.4 T320 TACTIL")</f>
        <v>Samsung Tab Pro 8.4 T320 TACTIL</v>
      </c>
      <c r="C1172" s="75">
        <f ca="1">IFERROR(__xludf.DUMMYFUNCTION("""COMPUTED_VALUE"""),100)</f>
        <v>100</v>
      </c>
      <c r="D1172" s="75">
        <f ca="1">IFERROR(__xludf.DUMMYFUNCTION("""COMPUTED_VALUE"""),50)</f>
        <v>50</v>
      </c>
      <c r="E1172" s="76">
        <f ca="1">IFERROR(__xludf.DUMMYFUNCTION("""COMPUTED_VALUE"""),150)</f>
        <v>150</v>
      </c>
      <c r="F1172" s="77">
        <f ca="1">IFERROR(__xludf.DUMMYFUNCTION("""COMPUTED_VALUE"""),10010331)</f>
        <v>10010331</v>
      </c>
      <c r="G1172" s="77" t="str">
        <f t="shared" ca="1" si="4"/>
        <v>si</v>
      </c>
    </row>
    <row r="1173" spans="1:7" ht="12.75" x14ac:dyDescent="0.2">
      <c r="A1173" s="62">
        <f ca="1">IFERROR(__xludf.DUMMYFUNCTION("""COMPUTED_VALUE"""),10010328)</f>
        <v>10010328</v>
      </c>
      <c r="B1173" s="62" t="str">
        <f ca="1">IFERROR(__xludf.DUMMYFUNCTION("""COMPUTED_VALUE"""),"Samsung Tab A 9.7 Sm-T550 T551 T555 LCD + TACTIL")</f>
        <v>Samsung Tab A 9.7 Sm-T550 T551 T555 LCD + TACTIL</v>
      </c>
      <c r="C1173" s="75">
        <f ca="1">IFERROR(__xludf.DUMMYFUNCTION("""COMPUTED_VALUE"""),250)</f>
        <v>250</v>
      </c>
      <c r="D1173" s="75">
        <f ca="1">IFERROR(__xludf.DUMMYFUNCTION("""COMPUTED_VALUE"""),50)</f>
        <v>50</v>
      </c>
      <c r="E1173" s="76">
        <f ca="1">IFERROR(__xludf.DUMMYFUNCTION("""COMPUTED_VALUE"""),300)</f>
        <v>300</v>
      </c>
      <c r="F1173" s="77">
        <f ca="1">IFERROR(__xludf.DUMMYFUNCTION("""COMPUTED_VALUE"""),10010328)</f>
        <v>10010328</v>
      </c>
      <c r="G1173" s="77" t="str">
        <f t="shared" ca="1" si="4"/>
        <v>si</v>
      </c>
    </row>
    <row r="1174" spans="1:7" ht="12.75" x14ac:dyDescent="0.2">
      <c r="A1174" s="62">
        <f ca="1">IFERROR(__xludf.DUMMYFUNCTION("""COMPUTED_VALUE"""),10010329)</f>
        <v>10010329</v>
      </c>
      <c r="B1174" s="62" t="str">
        <f ca="1">IFERROR(__xludf.DUMMYFUNCTION("""COMPUTED_VALUE"""),"Samsung Tab A 9.7 Sm-P550 P551 P555 TACTIL")</f>
        <v>Samsung Tab A 9.7 Sm-P550 P551 P555 TACTIL</v>
      </c>
      <c r="C1174" s="75">
        <f ca="1">IFERROR(__xludf.DUMMYFUNCTION("""COMPUTED_VALUE"""),100)</f>
        <v>100</v>
      </c>
      <c r="D1174" s="75">
        <f ca="1">IFERROR(__xludf.DUMMYFUNCTION("""COMPUTED_VALUE"""),50)</f>
        <v>50</v>
      </c>
      <c r="E1174" s="76">
        <f ca="1">IFERROR(__xludf.DUMMYFUNCTION("""COMPUTED_VALUE"""),150)</f>
        <v>150</v>
      </c>
      <c r="F1174" s="77">
        <f ca="1">IFERROR(__xludf.DUMMYFUNCTION("""COMPUTED_VALUE"""),10010329)</f>
        <v>10010329</v>
      </c>
      <c r="G1174" s="77" t="str">
        <f t="shared" ca="1" si="4"/>
        <v>si</v>
      </c>
    </row>
    <row r="1175" spans="1:7" ht="12.75" x14ac:dyDescent="0.2">
      <c r="A1175" s="62">
        <f ca="1">IFERROR(__xludf.DUMMYFUNCTION("""COMPUTED_VALUE"""),10010339)</f>
        <v>10010339</v>
      </c>
      <c r="B1175" s="62" t="str">
        <f ca="1">IFERROR(__xludf.DUMMYFUNCTION("""COMPUTED_VALUE"""),"Samsung Tab3 T211 LCD ")</f>
        <v xml:space="preserve">Samsung Tab3 T211 LCD </v>
      </c>
      <c r="C1175" s="75">
        <f ca="1">IFERROR(__xludf.DUMMYFUNCTION("""COMPUTED_VALUE"""),160)</f>
        <v>160</v>
      </c>
      <c r="D1175" s="75">
        <f ca="1">IFERROR(__xludf.DUMMYFUNCTION("""COMPUTED_VALUE"""),50)</f>
        <v>50</v>
      </c>
      <c r="E1175" s="76">
        <f ca="1">IFERROR(__xludf.DUMMYFUNCTION("""COMPUTED_VALUE"""),210)</f>
        <v>210</v>
      </c>
      <c r="F1175" s="77">
        <f ca="1">IFERROR(__xludf.DUMMYFUNCTION("""COMPUTED_VALUE"""),10010339)</f>
        <v>10010339</v>
      </c>
      <c r="G1175" s="77" t="str">
        <f t="shared" ca="1" si="4"/>
        <v>si</v>
      </c>
    </row>
    <row r="1176" spans="1:7" ht="12.75" x14ac:dyDescent="0.2">
      <c r="A1176" s="62">
        <f ca="1">IFERROR(__xludf.DUMMYFUNCTION("""COMPUTED_VALUE"""),10010340)</f>
        <v>10010340</v>
      </c>
      <c r="B1176" s="62" t="str">
        <f ca="1">IFERROR(__xludf.DUMMYFUNCTION("""COMPUTED_VALUE"""),"Samsung Tab3 T211 TACTIL")</f>
        <v>Samsung Tab3 T211 TACTIL</v>
      </c>
      <c r="C1176" s="75">
        <f ca="1">IFERROR(__xludf.DUMMYFUNCTION("""COMPUTED_VALUE"""),90)</f>
        <v>90</v>
      </c>
      <c r="D1176" s="75">
        <f ca="1">IFERROR(__xludf.DUMMYFUNCTION("""COMPUTED_VALUE"""),50)</f>
        <v>50</v>
      </c>
      <c r="E1176" s="76">
        <f ca="1">IFERROR(__xludf.DUMMYFUNCTION("""COMPUTED_VALUE"""),140)</f>
        <v>140</v>
      </c>
      <c r="F1176" s="77">
        <f ca="1">IFERROR(__xludf.DUMMYFUNCTION("""COMPUTED_VALUE"""),10010340)</f>
        <v>10010340</v>
      </c>
      <c r="G1176" s="77" t="str">
        <f t="shared" ca="1" si="4"/>
        <v>si</v>
      </c>
    </row>
    <row r="1177" spans="1:7" ht="12.75" x14ac:dyDescent="0.2">
      <c r="A1177" s="62">
        <f ca="1">IFERROR(__xludf.DUMMYFUNCTION("""COMPUTED_VALUE"""),10010324)</f>
        <v>10010324</v>
      </c>
      <c r="B1177" s="62" t="str">
        <f ca="1">IFERROR(__xludf.DUMMYFUNCTION("""COMPUTED_VALUE"""),"Samsung Tab 7 Plus P6200  TACTIL")</f>
        <v>Samsung Tab 7 Plus P6200  TACTIL</v>
      </c>
      <c r="C1177" s="75">
        <f ca="1">IFERROR(__xludf.DUMMYFUNCTION("""COMPUTED_VALUE"""),100)</f>
        <v>100</v>
      </c>
      <c r="D1177" s="75">
        <f ca="1">IFERROR(__xludf.DUMMYFUNCTION("""COMPUTED_VALUE"""),50)</f>
        <v>50</v>
      </c>
      <c r="E1177" s="76">
        <f ca="1">IFERROR(__xludf.DUMMYFUNCTION("""COMPUTED_VALUE"""),150)</f>
        <v>150</v>
      </c>
      <c r="F1177" s="77">
        <f ca="1">IFERROR(__xludf.DUMMYFUNCTION("""COMPUTED_VALUE"""),10010324)</f>
        <v>10010324</v>
      </c>
      <c r="G1177" s="77" t="str">
        <f t="shared" ca="1" si="4"/>
        <v>si</v>
      </c>
    </row>
    <row r="1178" spans="1:7" ht="12.75" x14ac:dyDescent="0.2">
      <c r="A1178" s="62">
        <f ca="1">IFERROR(__xludf.DUMMYFUNCTION("""COMPUTED_VALUE"""),10010332)</f>
        <v>10010332</v>
      </c>
      <c r="B1178" s="62" t="str">
        <f ca="1">IFERROR(__xludf.DUMMYFUNCTION("""COMPUTED_VALUE"""),"Samsung Tab S3 9.7 2017 T820 T825 T827")</f>
        <v>Samsung Tab S3 9.7 2017 T820 T825 T827</v>
      </c>
      <c r="C1178" s="75">
        <f ca="1">IFERROR(__xludf.DUMMYFUNCTION("""COMPUTED_VALUE"""),740)</f>
        <v>740</v>
      </c>
      <c r="D1178" s="75">
        <f ca="1">IFERROR(__xludf.DUMMYFUNCTION("""COMPUTED_VALUE"""),50)</f>
        <v>50</v>
      </c>
      <c r="E1178" s="76">
        <f ca="1">IFERROR(__xludf.DUMMYFUNCTION("""COMPUTED_VALUE"""),790)</f>
        <v>790</v>
      </c>
      <c r="F1178" s="77">
        <f ca="1">IFERROR(__xludf.DUMMYFUNCTION("""COMPUTED_VALUE"""),10010332)</f>
        <v>10010332</v>
      </c>
      <c r="G1178" s="77" t="str">
        <f t="shared" ca="1" si="4"/>
        <v>si</v>
      </c>
    </row>
    <row r="1179" spans="1:7" ht="12.75" x14ac:dyDescent="0.2">
      <c r="A1179" s="62">
        <f ca="1">IFERROR(__xludf.DUMMYFUNCTION("""COMPUTED_VALUE"""),10010341)</f>
        <v>10010341</v>
      </c>
      <c r="B1179" s="62" t="str">
        <f ca="1">IFERROR(__xludf.DUMMYFUNCTION("""COMPUTED_VALUE"""),"Samsung Tab4 7.0 T230 T235 Wifi 3g TV")</f>
        <v>Samsung Tab4 7.0 T230 T235 Wifi 3g TV</v>
      </c>
      <c r="C1179" s="75">
        <f ca="1">IFERROR(__xludf.DUMMYFUNCTION("""COMPUTED_VALUE"""),0)</f>
        <v>0</v>
      </c>
      <c r="D1179" s="75">
        <f ca="1">IFERROR(__xludf.DUMMYFUNCTION("""COMPUTED_VALUE"""),0)</f>
        <v>0</v>
      </c>
      <c r="E1179" s="76">
        <f ca="1">IFERROR(__xludf.DUMMYFUNCTION("""COMPUTED_VALUE"""),0)</f>
        <v>0</v>
      </c>
      <c r="F1179" s="77">
        <f ca="1">IFERROR(__xludf.DUMMYFUNCTION("""COMPUTED_VALUE"""),10010341)</f>
        <v>10010341</v>
      </c>
      <c r="G1179" s="77" t="str">
        <f t="shared" ca="1" si="4"/>
        <v>si</v>
      </c>
    </row>
    <row r="1180" spans="1:7" ht="12.75" x14ac:dyDescent="0.2">
      <c r="A1180" s="62">
        <f ca="1">IFERROR(__xludf.DUMMYFUNCTION("""COMPUTED_VALUE"""),10010322)</f>
        <v>10010322</v>
      </c>
      <c r="B1180" s="62" t="str">
        <f ca="1">IFERROR(__xludf.DUMMYFUNCTION("""COMPUTED_VALUE"""),"Samsung Tab 4 Sm T530 T531 T535  LCD ")</f>
        <v xml:space="preserve">Samsung Tab 4 Sm T530 T531 T535  LCD </v>
      </c>
      <c r="C1180" s="75">
        <f ca="1">IFERROR(__xludf.DUMMYFUNCTION("""COMPUTED_VALUE"""),210)</f>
        <v>210</v>
      </c>
      <c r="D1180" s="75">
        <f ca="1">IFERROR(__xludf.DUMMYFUNCTION("""COMPUTED_VALUE"""),50)</f>
        <v>50</v>
      </c>
      <c r="E1180" s="76">
        <f ca="1">IFERROR(__xludf.DUMMYFUNCTION("""COMPUTED_VALUE"""),260)</f>
        <v>260</v>
      </c>
      <c r="F1180" s="77">
        <f ca="1">IFERROR(__xludf.DUMMYFUNCTION("""COMPUTED_VALUE"""),10010322)</f>
        <v>10010322</v>
      </c>
      <c r="G1180" s="77" t="str">
        <f t="shared" ca="1" si="4"/>
        <v>si</v>
      </c>
    </row>
    <row r="1181" spans="1:7" ht="12.75" x14ac:dyDescent="0.2">
      <c r="A1181" s="62">
        <f ca="1">IFERROR(__xludf.DUMMYFUNCTION("""COMPUTED_VALUE"""),10010323)</f>
        <v>10010323</v>
      </c>
      <c r="B1181" s="62" t="str">
        <f ca="1">IFERROR(__xludf.DUMMYFUNCTION("""COMPUTED_VALUE"""),"Samsung Tab 4 Sm T530 T531 T535  TACTIL")</f>
        <v>Samsung Tab 4 Sm T530 T531 T535  TACTIL</v>
      </c>
      <c r="C1181" s="75">
        <f ca="1">IFERROR(__xludf.DUMMYFUNCTION("""COMPUTED_VALUE"""),110)</f>
        <v>110</v>
      </c>
      <c r="D1181" s="75">
        <f ca="1">IFERROR(__xludf.DUMMYFUNCTION("""COMPUTED_VALUE"""),50)</f>
        <v>50</v>
      </c>
      <c r="E1181" s="76">
        <f ca="1">IFERROR(__xludf.DUMMYFUNCTION("""COMPUTED_VALUE"""),160)</f>
        <v>160</v>
      </c>
      <c r="F1181" s="77">
        <f ca="1">IFERROR(__xludf.DUMMYFUNCTION("""COMPUTED_VALUE"""),10010323)</f>
        <v>10010323</v>
      </c>
      <c r="G1181" s="77" t="str">
        <f t="shared" ca="1" si="4"/>
        <v>si</v>
      </c>
    </row>
    <row r="1182" spans="1:7" ht="12.75" x14ac:dyDescent="0.2">
      <c r="A1182" s="62">
        <f ca="1">IFERROR(__xludf.DUMMYFUNCTION("""COMPUTED_VALUE"""),10010338)</f>
        <v>10010338</v>
      </c>
      <c r="B1182" s="62" t="str">
        <f ca="1">IFERROR(__xludf.DUMMYFUNCTION("""COMPUTED_VALUE"""),"Samsung Tab3 Kids Sm-t2105")</f>
        <v>Samsung Tab3 Kids Sm-t2105</v>
      </c>
      <c r="C1182" s="75">
        <f ca="1">IFERROR(__xludf.DUMMYFUNCTION("""COMPUTED_VALUE"""),0)</f>
        <v>0</v>
      </c>
      <c r="D1182" s="75">
        <f ca="1">IFERROR(__xludf.DUMMYFUNCTION("""COMPUTED_VALUE"""),0)</f>
        <v>0</v>
      </c>
      <c r="E1182" s="76">
        <f ca="1">IFERROR(__xludf.DUMMYFUNCTION("""COMPUTED_VALUE"""),0)</f>
        <v>0</v>
      </c>
      <c r="F1182" s="77">
        <f ca="1">IFERROR(__xludf.DUMMYFUNCTION("""COMPUTED_VALUE"""),10010338)</f>
        <v>10010338</v>
      </c>
      <c r="G1182" s="77" t="str">
        <f t="shared" ca="1" si="4"/>
        <v>si</v>
      </c>
    </row>
    <row r="1183" spans="1:7" ht="12.75" x14ac:dyDescent="0.2">
      <c r="A1183" s="62">
        <f ca="1">IFERROR(__xludf.DUMMYFUNCTION("""COMPUTED_VALUE"""),10010317)</f>
        <v>10010317</v>
      </c>
      <c r="B1183" s="62" t="str">
        <f ca="1">IFERROR(__xludf.DUMMYFUNCTION("""COMPUTED_VALUE"""),"Samsung Galaxy Tab3-sm T310 LCD + TACTIL")</f>
        <v>Samsung Galaxy Tab3-sm T310 LCD + TACTIL</v>
      </c>
      <c r="C1183" s="75">
        <f ca="1">IFERROR(__xludf.DUMMYFUNCTION("""COMPUTED_VALUE"""),240)</f>
        <v>240</v>
      </c>
      <c r="D1183" s="75">
        <f ca="1">IFERROR(__xludf.DUMMYFUNCTION("""COMPUTED_VALUE"""),50)</f>
        <v>50</v>
      </c>
      <c r="E1183" s="76">
        <f ca="1">IFERROR(__xludf.DUMMYFUNCTION("""COMPUTED_VALUE"""),290)</f>
        <v>290</v>
      </c>
      <c r="F1183" s="77">
        <f ca="1">IFERROR(__xludf.DUMMYFUNCTION("""COMPUTED_VALUE"""),10010317)</f>
        <v>10010317</v>
      </c>
      <c r="G1183" s="77" t="str">
        <f t="shared" ca="1" si="4"/>
        <v>si</v>
      </c>
    </row>
    <row r="1184" spans="1:7" ht="12.75" x14ac:dyDescent="0.2">
      <c r="A1184" s="62">
        <f ca="1">IFERROR(__xludf.DUMMYFUNCTION("""COMPUTED_VALUE"""),10010316)</f>
        <v>10010316</v>
      </c>
      <c r="B1184" s="62" t="str">
        <f ca="1">IFERROR(__xludf.DUMMYFUNCTION("""COMPUTED_VALUE"""),"Samsung Galaxy Tab3-sm T310 LCD   ")</f>
        <v xml:space="preserve">Samsung Galaxy Tab3-sm T310 LCD   </v>
      </c>
      <c r="C1184" s="75">
        <f ca="1">IFERROR(__xludf.DUMMYFUNCTION("""COMPUTED_VALUE"""),200)</f>
        <v>200</v>
      </c>
      <c r="D1184" s="75">
        <f ca="1">IFERROR(__xludf.DUMMYFUNCTION("""COMPUTED_VALUE"""),50)</f>
        <v>50</v>
      </c>
      <c r="E1184" s="76">
        <f ca="1">IFERROR(__xludf.DUMMYFUNCTION("""COMPUTED_VALUE"""),250)</f>
        <v>250</v>
      </c>
      <c r="F1184" s="77">
        <f ca="1">IFERROR(__xludf.DUMMYFUNCTION("""COMPUTED_VALUE"""),10010316)</f>
        <v>10010316</v>
      </c>
      <c r="G1184" s="77" t="str">
        <f t="shared" ca="1" si="4"/>
        <v>si</v>
      </c>
    </row>
    <row r="1185" spans="1:7" ht="12.75" x14ac:dyDescent="0.2">
      <c r="A1185" s="62">
        <f ca="1">IFERROR(__xludf.DUMMYFUNCTION("""COMPUTED_VALUE"""),10010318)</f>
        <v>10010318</v>
      </c>
      <c r="B1185" s="62" t="str">
        <f ca="1">IFERROR(__xludf.DUMMYFUNCTION("""COMPUTED_VALUE"""),"Samsung Galaxy Tab3-sm T310 TACTIL")</f>
        <v>Samsung Galaxy Tab3-sm T310 TACTIL</v>
      </c>
      <c r="C1185" s="75">
        <f ca="1">IFERROR(__xludf.DUMMYFUNCTION("""COMPUTED_VALUE"""),100)</f>
        <v>100</v>
      </c>
      <c r="D1185" s="75">
        <f ca="1">IFERROR(__xludf.DUMMYFUNCTION("""COMPUTED_VALUE"""),50)</f>
        <v>50</v>
      </c>
      <c r="E1185" s="76">
        <f ca="1">IFERROR(__xludf.DUMMYFUNCTION("""COMPUTED_VALUE"""),150)</f>
        <v>150</v>
      </c>
      <c r="F1185" s="77">
        <f ca="1">IFERROR(__xludf.DUMMYFUNCTION("""COMPUTED_VALUE"""),10010318)</f>
        <v>10010318</v>
      </c>
      <c r="G1185" s="77" t="str">
        <f t="shared" ca="1" si="4"/>
        <v>si</v>
      </c>
    </row>
    <row r="1186" spans="1:7" ht="12.75" x14ac:dyDescent="0.2">
      <c r="A1186" s="62">
        <f ca="1">IFERROR(__xludf.DUMMYFUNCTION("""COMPUTED_VALUE"""),10010311)</f>
        <v>10010311</v>
      </c>
      <c r="B1186" s="62" t="str">
        <f ca="1">IFERROR(__xludf.DUMMYFUNCTION("""COMPUTED_VALUE"""),"Samsung Galaxy Tab P3110 P3100 LCD ")</f>
        <v xml:space="preserve">Samsung Galaxy Tab P3110 P3100 LCD </v>
      </c>
      <c r="C1186" s="75">
        <f ca="1">IFERROR(__xludf.DUMMYFUNCTION("""COMPUTED_VALUE"""),160)</f>
        <v>160</v>
      </c>
      <c r="D1186" s="75">
        <f ca="1">IFERROR(__xludf.DUMMYFUNCTION("""COMPUTED_VALUE"""),50)</f>
        <v>50</v>
      </c>
      <c r="E1186" s="76">
        <f ca="1">IFERROR(__xludf.DUMMYFUNCTION("""COMPUTED_VALUE"""),210)</f>
        <v>210</v>
      </c>
      <c r="F1186" s="77">
        <f ca="1">IFERROR(__xludf.DUMMYFUNCTION("""COMPUTED_VALUE"""),10010311)</f>
        <v>10010311</v>
      </c>
      <c r="G1186" s="77" t="str">
        <f t="shared" ca="1" si="4"/>
        <v>si</v>
      </c>
    </row>
    <row r="1187" spans="1:7" ht="12.75" x14ac:dyDescent="0.2">
      <c r="A1187" s="62">
        <f ca="1">IFERROR(__xludf.DUMMYFUNCTION("""COMPUTED_VALUE"""),10010312)</f>
        <v>10010312</v>
      </c>
      <c r="B1187" s="62" t="str">
        <f ca="1">IFERROR(__xludf.DUMMYFUNCTION("""COMPUTED_VALUE"""),"Samsung Galaxy Tab P3110 P3100 TACTIL ")</f>
        <v xml:space="preserve">Samsung Galaxy Tab P3110 P3100 TACTIL </v>
      </c>
      <c r="C1187" s="75">
        <f ca="1">IFERROR(__xludf.DUMMYFUNCTION("""COMPUTED_VALUE"""),100)</f>
        <v>100</v>
      </c>
      <c r="D1187" s="75">
        <f ca="1">IFERROR(__xludf.DUMMYFUNCTION("""COMPUTED_VALUE"""),50)</f>
        <v>50</v>
      </c>
      <c r="E1187" s="76">
        <f ca="1">IFERROR(__xludf.DUMMYFUNCTION("""COMPUTED_VALUE"""),150)</f>
        <v>150</v>
      </c>
      <c r="F1187" s="77">
        <f ca="1">IFERROR(__xludf.DUMMYFUNCTION("""COMPUTED_VALUE"""),10010312)</f>
        <v>10010312</v>
      </c>
      <c r="G1187" s="77" t="str">
        <f t="shared" ca="1" si="4"/>
        <v>si</v>
      </c>
    </row>
    <row r="1188" spans="1:7" ht="12.75" x14ac:dyDescent="0.2">
      <c r="A1188" s="62">
        <f ca="1">IFERROR(__xludf.DUMMYFUNCTION("""COMPUTED_VALUE"""),10010314)</f>
        <v>10010314</v>
      </c>
      <c r="B1188" s="62"/>
      <c r="C1188" s="62"/>
      <c r="D1188" s="62"/>
      <c r="E1188" s="57"/>
      <c r="F1188" s="77">
        <f ca="1">IFERROR(__xludf.DUMMYFUNCTION("""COMPUTED_VALUE"""),10010314)</f>
        <v>10010314</v>
      </c>
      <c r="G1188" s="77" t="str">
        <f t="shared" ca="1" si="4"/>
        <v>si</v>
      </c>
    </row>
    <row r="1189" spans="1:7" ht="12.75" x14ac:dyDescent="0.2">
      <c r="A1189" s="62">
        <f ca="1">IFERROR(__xludf.DUMMYFUNCTION("""COMPUTED_VALUE"""),10010325)</f>
        <v>10010325</v>
      </c>
      <c r="B1189" s="62" t="str">
        <f ca="1">IFERROR(__xludf.DUMMYFUNCTION("""COMPUTED_VALUE"""),"Samsung Tab 7.0 Plus P6200 P6210")</f>
        <v>Samsung Tab 7.0 Plus P6200 P6210</v>
      </c>
      <c r="C1189" s="75">
        <f ca="1">IFERROR(__xludf.DUMMYFUNCTION("""COMPUTED_VALUE"""),0)</f>
        <v>0</v>
      </c>
      <c r="D1189" s="75">
        <f ca="1">IFERROR(__xludf.DUMMYFUNCTION("""COMPUTED_VALUE"""),0)</f>
        <v>0</v>
      </c>
      <c r="E1189" s="76">
        <f ca="1">IFERROR(__xludf.DUMMYFUNCTION("""COMPUTED_VALUE"""),0)</f>
        <v>0</v>
      </c>
      <c r="F1189" s="77">
        <f ca="1">IFERROR(__xludf.DUMMYFUNCTION("""COMPUTED_VALUE"""),10010325)</f>
        <v>10010325</v>
      </c>
      <c r="G1189" s="77" t="str">
        <f t="shared" ca="1" si="4"/>
        <v>si</v>
      </c>
    </row>
    <row r="1190" spans="1:7" ht="12.75" x14ac:dyDescent="0.2">
      <c r="A1190" s="62">
        <f ca="1">IFERROR(__xludf.DUMMYFUNCTION("""COMPUTED_VALUE"""),10010307)</f>
        <v>10010307</v>
      </c>
      <c r="B1190" s="62" t="str">
        <f ca="1">IFERROR(__xludf.DUMMYFUNCTION("""COMPUTED_VALUE"""),"Samsung Galaxy Tab A 10.1 Sm-t580 T585 LCD + TACTIL")</f>
        <v>Samsung Galaxy Tab A 10.1 Sm-t580 T585 LCD + TACTIL</v>
      </c>
      <c r="C1190" s="75">
        <f ca="1">IFERROR(__xludf.DUMMYFUNCTION("""COMPUTED_VALUE"""),300)</f>
        <v>300</v>
      </c>
      <c r="D1190" s="75">
        <f ca="1">IFERROR(__xludf.DUMMYFUNCTION("""COMPUTED_VALUE"""),50)</f>
        <v>50</v>
      </c>
      <c r="E1190" s="76">
        <f ca="1">IFERROR(__xludf.DUMMYFUNCTION("""COMPUTED_VALUE"""),350)</f>
        <v>350</v>
      </c>
      <c r="F1190" s="77">
        <f ca="1">IFERROR(__xludf.DUMMYFUNCTION("""COMPUTED_VALUE"""),10010307)</f>
        <v>10010307</v>
      </c>
      <c r="G1190" s="77" t="str">
        <f t="shared" ca="1" si="4"/>
        <v>si</v>
      </c>
    </row>
    <row r="1191" spans="1:7" ht="12.75" x14ac:dyDescent="0.2">
      <c r="A1191" s="62">
        <f ca="1">IFERROR(__xludf.DUMMYFUNCTION("""COMPUTED_VALUE"""),10010306)</f>
        <v>10010306</v>
      </c>
      <c r="B1191" s="62" t="str">
        <f ca="1">IFERROR(__xludf.DUMMYFUNCTION("""COMPUTED_VALUE"""),"Samsung Galaxy Tab A 10.1 Sm-t580 T585 LCD  ")</f>
        <v xml:space="preserve">Samsung Galaxy Tab A 10.1 Sm-t580 T585 LCD  </v>
      </c>
      <c r="C1191" s="75">
        <f ca="1">IFERROR(__xludf.DUMMYFUNCTION("""COMPUTED_VALUE"""),240)</f>
        <v>240</v>
      </c>
      <c r="D1191" s="75">
        <f ca="1">IFERROR(__xludf.DUMMYFUNCTION("""COMPUTED_VALUE"""),50)</f>
        <v>50</v>
      </c>
      <c r="E1191" s="76">
        <f ca="1">IFERROR(__xludf.DUMMYFUNCTION("""COMPUTED_VALUE"""),290)</f>
        <v>290</v>
      </c>
      <c r="F1191" s="77">
        <f ca="1">IFERROR(__xludf.DUMMYFUNCTION("""COMPUTED_VALUE"""),10010306)</f>
        <v>10010306</v>
      </c>
      <c r="G1191" s="77" t="str">
        <f t="shared" ca="1" si="4"/>
        <v>si</v>
      </c>
    </row>
    <row r="1192" spans="1:7" ht="12.75" x14ac:dyDescent="0.2">
      <c r="A1192" s="62">
        <f ca="1">IFERROR(__xludf.DUMMYFUNCTION("""COMPUTED_VALUE"""),10010308)</f>
        <v>10010308</v>
      </c>
      <c r="B1192" s="62" t="str">
        <f ca="1">IFERROR(__xludf.DUMMYFUNCTION("""COMPUTED_VALUE"""),"Samsung Galaxy Tab A 10.1 Sm-t580 T585 TACTIL")</f>
        <v>Samsung Galaxy Tab A 10.1 Sm-t580 T585 TACTIL</v>
      </c>
      <c r="C1192" s="75">
        <f ca="1">IFERROR(__xludf.DUMMYFUNCTION("""COMPUTED_VALUE"""),110)</f>
        <v>110</v>
      </c>
      <c r="D1192" s="75">
        <f ca="1">IFERROR(__xludf.DUMMYFUNCTION("""COMPUTED_VALUE"""),50)</f>
        <v>50</v>
      </c>
      <c r="E1192" s="76">
        <f ca="1">IFERROR(__xludf.DUMMYFUNCTION("""COMPUTED_VALUE"""),160)</f>
        <v>160</v>
      </c>
      <c r="F1192" s="77">
        <f ca="1">IFERROR(__xludf.DUMMYFUNCTION("""COMPUTED_VALUE"""),10010308)</f>
        <v>10010308</v>
      </c>
      <c r="G1192" s="77" t="str">
        <f t="shared" ca="1" si="4"/>
        <v>si</v>
      </c>
    </row>
    <row r="1193" spans="1:7" ht="12.75" x14ac:dyDescent="0.2">
      <c r="A1193" s="62">
        <f ca="1">IFERROR(__xludf.DUMMYFUNCTION("""COMPUTED_VALUE"""),10010393)</f>
        <v>10010393</v>
      </c>
      <c r="B1193" s="62" t="str">
        <f ca="1">IFERROR(__xludf.DUMMYFUNCTION("""COMPUTED_VALUE"""),"Samsung SM -T590 LCD + Tactil")</f>
        <v>Samsung SM -T590 LCD + Tactil</v>
      </c>
      <c r="C1193" s="75">
        <f ca="1">IFERROR(__xludf.DUMMYFUNCTION("""COMPUTED_VALUE"""),310)</f>
        <v>310</v>
      </c>
      <c r="D1193" s="75">
        <f ca="1">IFERROR(__xludf.DUMMYFUNCTION("""COMPUTED_VALUE"""),50)</f>
        <v>50</v>
      </c>
      <c r="E1193" s="76">
        <f ca="1">IFERROR(__xludf.DUMMYFUNCTION("""COMPUTED_VALUE"""),360)</f>
        <v>360</v>
      </c>
      <c r="F1193" s="77">
        <f ca="1">IFERROR(__xludf.DUMMYFUNCTION("""COMPUTED_VALUE"""),10010393)</f>
        <v>10010393</v>
      </c>
      <c r="G1193" s="77" t="str">
        <f t="shared" ca="1" si="4"/>
        <v>si</v>
      </c>
    </row>
    <row r="1194" spans="1:7" ht="12.75" x14ac:dyDescent="0.2">
      <c r="A1194" s="62">
        <f ca="1">IFERROR(__xludf.DUMMYFUNCTION("""COMPUTED_VALUE"""),10010394)</f>
        <v>10010394</v>
      </c>
      <c r="B1194" s="62" t="str">
        <f ca="1">IFERROR(__xludf.DUMMYFUNCTION("""COMPUTED_VALUE"""),"Samsung SM -P610 - P615 LCD + Tactil")</f>
        <v>Samsung SM -P610 - P615 LCD + Tactil</v>
      </c>
      <c r="C1194" s="75">
        <f ca="1">IFERROR(__xludf.DUMMYFUNCTION("""COMPUTED_VALUE"""),410)</f>
        <v>410</v>
      </c>
      <c r="D1194" s="75">
        <f ca="1">IFERROR(__xludf.DUMMYFUNCTION("""COMPUTED_VALUE"""),100)</f>
        <v>100</v>
      </c>
      <c r="E1194" s="76">
        <f ca="1">IFERROR(__xludf.DUMMYFUNCTION("""COMPUTED_VALUE"""),510)</f>
        <v>510</v>
      </c>
      <c r="F1194" s="77">
        <f ca="1">IFERROR(__xludf.DUMMYFUNCTION("""COMPUTED_VALUE"""),10010394)</f>
        <v>10010394</v>
      </c>
      <c r="G1194" s="77" t="str">
        <f t="shared" ca="1" si="4"/>
        <v>si</v>
      </c>
    </row>
    <row r="1195" spans="1:7" ht="12.75" x14ac:dyDescent="0.2">
      <c r="A1195" s="62">
        <f ca="1">IFERROR(__xludf.DUMMYFUNCTION("""COMPUTED_VALUE"""),10010395)</f>
        <v>10010395</v>
      </c>
      <c r="B1195" s="62" t="str">
        <f ca="1">IFERROR(__xludf.DUMMYFUNCTION("""COMPUTED_VALUE"""),"Samsung SM -T800 LCD + Tactil")</f>
        <v>Samsung SM -T800 LCD + Tactil</v>
      </c>
      <c r="C1195" s="75">
        <f ca="1">IFERROR(__xludf.DUMMYFUNCTION("""COMPUTED_VALUE"""),510)</f>
        <v>510</v>
      </c>
      <c r="D1195" s="75">
        <f ca="1">IFERROR(__xludf.DUMMYFUNCTION("""COMPUTED_VALUE"""),50)</f>
        <v>50</v>
      </c>
      <c r="E1195" s="76">
        <f ca="1">IFERROR(__xludf.DUMMYFUNCTION("""COMPUTED_VALUE"""),560)</f>
        <v>560</v>
      </c>
      <c r="F1195" s="77">
        <f ca="1">IFERROR(__xludf.DUMMYFUNCTION("""COMPUTED_VALUE"""),10010395)</f>
        <v>10010395</v>
      </c>
      <c r="G1195" s="77" t="str">
        <f t="shared" ca="1" si="4"/>
        <v>si</v>
      </c>
    </row>
    <row r="1196" spans="1:7" ht="12.75" x14ac:dyDescent="0.2">
      <c r="A1196" s="62">
        <f ca="1">IFERROR(__xludf.DUMMYFUNCTION("""COMPUTED_VALUE"""),10010396)</f>
        <v>10010396</v>
      </c>
      <c r="B1196" s="62" t="str">
        <f ca="1">IFERROR(__xludf.DUMMYFUNCTION("""COMPUTED_VALUE"""),"Samsung Tab S4-SMT835 LCD + Tactil")</f>
        <v>Samsung Tab S4-SMT835 LCD + Tactil</v>
      </c>
      <c r="C1196" s="75">
        <f ca="1">IFERROR(__xludf.DUMMYFUNCTION("""COMPUTED_VALUE"""),560)</f>
        <v>560</v>
      </c>
      <c r="D1196" s="75">
        <f ca="1">IFERROR(__xludf.DUMMYFUNCTION("""COMPUTED_VALUE"""),50)</f>
        <v>50</v>
      </c>
      <c r="E1196" s="76">
        <f ca="1">IFERROR(__xludf.DUMMYFUNCTION("""COMPUTED_VALUE"""),610)</f>
        <v>610</v>
      </c>
      <c r="F1196" s="77">
        <f ca="1">IFERROR(__xludf.DUMMYFUNCTION("""COMPUTED_VALUE"""),10010396)</f>
        <v>10010396</v>
      </c>
      <c r="G1196" s="77" t="str">
        <f t="shared" ca="1" si="4"/>
        <v>si</v>
      </c>
    </row>
    <row r="1197" spans="1:7" ht="12.75" x14ac:dyDescent="0.2">
      <c r="A1197" s="62">
        <f ca="1">IFERROR(__xludf.DUMMYFUNCTION("""COMPUTED_VALUE"""),10010397)</f>
        <v>10010397</v>
      </c>
      <c r="B1197" s="62" t="str">
        <f ca="1">IFERROR(__xludf.DUMMYFUNCTION("""COMPUTED_VALUE"""),"Samsung SM -T860 - T865 LCD + Tactil")</f>
        <v>Samsung SM -T860 - T865 LCD + Tactil</v>
      </c>
      <c r="C1197" s="75">
        <f ca="1">IFERROR(__xludf.DUMMYFUNCTION("""COMPUTED_VALUE"""),1190)</f>
        <v>1190</v>
      </c>
      <c r="D1197" s="75">
        <f ca="1">IFERROR(__xludf.DUMMYFUNCTION("""COMPUTED_VALUE"""),50)</f>
        <v>50</v>
      </c>
      <c r="E1197" s="76">
        <f ca="1">IFERROR(__xludf.DUMMYFUNCTION("""COMPUTED_VALUE"""),1240)</f>
        <v>1240</v>
      </c>
      <c r="F1197" s="77">
        <f ca="1">IFERROR(__xludf.DUMMYFUNCTION("""COMPUTED_VALUE"""),10010397)</f>
        <v>10010397</v>
      </c>
      <c r="G1197" s="77" t="str">
        <f t="shared" ca="1" si="4"/>
        <v>si</v>
      </c>
    </row>
    <row r="1198" spans="1:7" ht="12.75" x14ac:dyDescent="0.2">
      <c r="A1198" s="62">
        <f ca="1">IFERROR(__xludf.DUMMYFUNCTION("""COMPUTED_VALUE"""),10010398)</f>
        <v>10010398</v>
      </c>
      <c r="B1198" s="62" t="str">
        <f ca="1">IFERROR(__xludf.DUMMYFUNCTION("""COMPUTED_VALUE"""),"Samsung SM -T870 - T875 LCD + Tactil")</f>
        <v>Samsung SM -T870 - T875 LCD + Tactil</v>
      </c>
      <c r="C1198" s="75">
        <f ca="1">IFERROR(__xludf.DUMMYFUNCTION("""COMPUTED_VALUE"""),1240)</f>
        <v>1240</v>
      </c>
      <c r="D1198" s="75">
        <f ca="1">IFERROR(__xludf.DUMMYFUNCTION("""COMPUTED_VALUE"""),50)</f>
        <v>50</v>
      </c>
      <c r="E1198" s="76">
        <f ca="1">IFERROR(__xludf.DUMMYFUNCTION("""COMPUTED_VALUE"""),1290)</f>
        <v>1290</v>
      </c>
      <c r="F1198" s="77">
        <f ca="1">IFERROR(__xludf.DUMMYFUNCTION("""COMPUTED_VALUE"""),10010398)</f>
        <v>10010398</v>
      </c>
      <c r="G1198" s="77" t="str">
        <f t="shared" ca="1" si="4"/>
        <v>si</v>
      </c>
    </row>
    <row r="1199" spans="1:7" ht="12.75" x14ac:dyDescent="0.2">
      <c r="A1199" s="62">
        <f ca="1">IFERROR(__xludf.DUMMYFUNCTION("""COMPUTED_VALUE"""),10010399)</f>
        <v>10010399</v>
      </c>
      <c r="B1199" s="62" t="str">
        <f ca="1">IFERROR(__xludf.DUMMYFUNCTION("""COMPUTED_VALUE"""),"Samsung SM -P580 - P585")</f>
        <v>Samsung SM -P580 - P585</v>
      </c>
      <c r="C1199" s="75">
        <f ca="1">IFERROR(__xludf.DUMMYFUNCTION("""COMPUTED_VALUE"""),440)</f>
        <v>440</v>
      </c>
      <c r="D1199" s="75">
        <f ca="1">IFERROR(__xludf.DUMMYFUNCTION("""COMPUTED_VALUE"""),50)</f>
        <v>50</v>
      </c>
      <c r="E1199" s="76">
        <f ca="1">IFERROR(__xludf.DUMMYFUNCTION("""COMPUTED_VALUE"""),490)</f>
        <v>490</v>
      </c>
      <c r="F1199" s="77">
        <f ca="1">IFERROR(__xludf.DUMMYFUNCTION("""COMPUTED_VALUE"""),10010399)</f>
        <v>10010399</v>
      </c>
      <c r="G1199" s="77" t="str">
        <f t="shared" ca="1" si="4"/>
        <v>si</v>
      </c>
    </row>
    <row r="1200" spans="1:7" ht="12.75" x14ac:dyDescent="0.2">
      <c r="A1200" s="62">
        <f ca="1">IFERROR(__xludf.DUMMYFUNCTION("""COMPUTED_VALUE"""),10160207)</f>
        <v>10160207</v>
      </c>
      <c r="B1200" s="62" t="str">
        <f ca="1">IFERROR(__xludf.DUMMYFUNCTION("""COMPUTED_VALUE"""),"Samsung SM -T713 LCD + Tactil")</f>
        <v>Samsung SM -T713 LCD + Tactil</v>
      </c>
      <c r="C1200" s="75">
        <f ca="1">IFERROR(__xludf.DUMMYFUNCTION("""COMPUTED_VALUE"""),430)</f>
        <v>430</v>
      </c>
      <c r="D1200" s="75">
        <f ca="1">IFERROR(__xludf.DUMMYFUNCTION("""COMPUTED_VALUE"""),50)</f>
        <v>50</v>
      </c>
      <c r="E1200" s="76">
        <f ca="1">IFERROR(__xludf.DUMMYFUNCTION("""COMPUTED_VALUE"""),480)</f>
        <v>480</v>
      </c>
      <c r="F1200" s="77">
        <f ca="1">IFERROR(__xludf.DUMMYFUNCTION("""COMPUTED_VALUE"""),10160207)</f>
        <v>10160207</v>
      </c>
      <c r="G1200" s="77" t="str">
        <f t="shared" ca="1" si="4"/>
        <v>si</v>
      </c>
    </row>
    <row r="1201" spans="1:7" ht="12.75" x14ac:dyDescent="0.2">
      <c r="A1201" s="62">
        <f ca="1">IFERROR(__xludf.DUMMYFUNCTION("""COMPUTED_VALUE"""),10010473)</f>
        <v>10010473</v>
      </c>
      <c r="B1201" s="62"/>
      <c r="C1201" s="75">
        <f ca="1">IFERROR(__xludf.DUMMYFUNCTION("""COMPUTED_VALUE"""),0)</f>
        <v>0</v>
      </c>
      <c r="D1201" s="75">
        <f ca="1">IFERROR(__xludf.DUMMYFUNCTION("""COMPUTED_VALUE"""),0)</f>
        <v>0</v>
      </c>
      <c r="E1201" s="76">
        <f ca="1">IFERROR(__xludf.DUMMYFUNCTION("""COMPUTED_VALUE"""),0)</f>
        <v>0</v>
      </c>
      <c r="F1201" s="77">
        <f ca="1">IFERROR(__xludf.DUMMYFUNCTION("""COMPUTED_VALUE"""),10010473)</f>
        <v>10010473</v>
      </c>
      <c r="G1201" s="77" t="str">
        <f t="shared" ca="1" si="4"/>
        <v>si</v>
      </c>
    </row>
    <row r="1202" spans="1:7" ht="12.75" x14ac:dyDescent="0.2">
      <c r="A1202" s="62">
        <f ca="1">IFERROR(__xludf.DUMMYFUNCTION("""COMPUTED_VALUE"""),10010474)</f>
        <v>10010474</v>
      </c>
      <c r="B1202" s="62" t="str">
        <f ca="1">IFERROR(__xludf.DUMMYFUNCTION("""COMPUTED_VALUE"""),"Samsung SM -P900 - P905")</f>
        <v>Samsung SM -P900 - P905</v>
      </c>
      <c r="C1202" s="75">
        <f ca="1">IFERROR(__xludf.DUMMYFUNCTION("""COMPUTED_VALUE"""),600)</f>
        <v>600</v>
      </c>
      <c r="D1202" s="75">
        <f ca="1">IFERROR(__xludf.DUMMYFUNCTION("""COMPUTED_VALUE"""),50)</f>
        <v>50</v>
      </c>
      <c r="E1202" s="76">
        <f ca="1">IFERROR(__xludf.DUMMYFUNCTION("""COMPUTED_VALUE"""),650)</f>
        <v>650</v>
      </c>
      <c r="F1202" s="77">
        <f ca="1">IFERROR(__xludf.DUMMYFUNCTION("""COMPUTED_VALUE"""),10010474)</f>
        <v>10010474</v>
      </c>
      <c r="G1202" s="77" t="str">
        <f t="shared" ca="1" si="4"/>
        <v>si</v>
      </c>
    </row>
    <row r="1203" spans="1:7" ht="12.75" x14ac:dyDescent="0.2">
      <c r="A1203" s="62">
        <f ca="1">IFERROR(__xludf.DUMMYFUNCTION("""COMPUTED_VALUE"""),10010475)</f>
        <v>10010475</v>
      </c>
      <c r="B1203" s="62" t="str">
        <f ca="1">IFERROR(__xludf.DUMMYFUNCTION("""COMPUTED_VALUE"""),"Samsung SM -T280 - T285")</f>
        <v>Samsung SM -T280 - T285</v>
      </c>
      <c r="C1203" s="75">
        <f ca="1">IFERROR(__xludf.DUMMYFUNCTION("""COMPUTED_VALUE"""),290)</f>
        <v>290</v>
      </c>
      <c r="D1203" s="75">
        <f ca="1">IFERROR(__xludf.DUMMYFUNCTION("""COMPUTED_VALUE"""),50)</f>
        <v>50</v>
      </c>
      <c r="E1203" s="76">
        <f ca="1">IFERROR(__xludf.DUMMYFUNCTION("""COMPUTED_VALUE"""),340)</f>
        <v>340</v>
      </c>
      <c r="F1203" s="77">
        <f ca="1">IFERROR(__xludf.DUMMYFUNCTION("""COMPUTED_VALUE"""),10010475)</f>
        <v>10010475</v>
      </c>
      <c r="G1203" s="77" t="str">
        <f t="shared" ca="1" si="4"/>
        <v>si</v>
      </c>
    </row>
    <row r="1204" spans="1:7" ht="12.75" x14ac:dyDescent="0.2">
      <c r="A1204" s="62">
        <f ca="1">IFERROR(__xludf.DUMMYFUNCTION("""COMPUTED_VALUE"""),10010480)</f>
        <v>10010480</v>
      </c>
      <c r="B1204" s="62" t="str">
        <f ca="1">IFERROR(__xludf.DUMMYFUNCTION("""COMPUTED_VALUE"""),"Samsung SM -T380 - T385")</f>
        <v>Samsung SM -T380 - T385</v>
      </c>
      <c r="C1204" s="75">
        <f ca="1">IFERROR(__xludf.DUMMYFUNCTION("""COMPUTED_VALUE"""),300)</f>
        <v>300</v>
      </c>
      <c r="D1204" s="75">
        <f ca="1">IFERROR(__xludf.DUMMYFUNCTION("""COMPUTED_VALUE"""),50)</f>
        <v>50</v>
      </c>
      <c r="E1204" s="76">
        <f ca="1">IFERROR(__xludf.DUMMYFUNCTION("""COMPUTED_VALUE"""),350)</f>
        <v>350</v>
      </c>
      <c r="F1204" s="77">
        <f ca="1">IFERROR(__xludf.DUMMYFUNCTION("""COMPUTED_VALUE"""),10010480)</f>
        <v>10010480</v>
      </c>
      <c r="G1204" s="77" t="str">
        <f t="shared" ca="1" si="4"/>
        <v>si</v>
      </c>
    </row>
    <row r="1205" spans="1:7" ht="12.75" x14ac:dyDescent="0.2">
      <c r="A1205" s="62">
        <f ca="1">IFERROR(__xludf.DUMMYFUNCTION("""COMPUTED_VALUE"""),10010481)</f>
        <v>10010481</v>
      </c>
      <c r="B1205" s="62" t="str">
        <f ca="1">IFERROR(__xludf.DUMMYFUNCTION("""COMPUTED_VALUE"""),"Samsung SM -T220 - T225")</f>
        <v>Samsung SM -T220 - T225</v>
      </c>
      <c r="C1205" s="75">
        <f ca="1">IFERROR(__xludf.DUMMYFUNCTION("""COMPUTED_VALUE"""),250)</f>
        <v>250</v>
      </c>
      <c r="D1205" s="75">
        <f ca="1">IFERROR(__xludf.DUMMYFUNCTION("""COMPUTED_VALUE"""),50)</f>
        <v>50</v>
      </c>
      <c r="E1205" s="76">
        <f ca="1">IFERROR(__xludf.DUMMYFUNCTION("""COMPUTED_VALUE"""),300)</f>
        <v>300</v>
      </c>
      <c r="F1205" s="77">
        <f ca="1">IFERROR(__xludf.DUMMYFUNCTION("""COMPUTED_VALUE"""),10010481)</f>
        <v>10010481</v>
      </c>
      <c r="G1205" s="77" t="str">
        <f t="shared" ca="1" si="4"/>
        <v>si</v>
      </c>
    </row>
    <row r="1206" spans="1:7" ht="12.75" x14ac:dyDescent="0.2">
      <c r="A1206" s="62">
        <f ca="1">IFERROR(__xludf.DUMMYFUNCTION("""COMPUTED_VALUE"""),10010482)</f>
        <v>10010482</v>
      </c>
      <c r="B1206" s="62" t="str">
        <f ca="1">IFERROR(__xludf.DUMMYFUNCTION("""COMPUTED_VALUE"""),"Samsung SM -T395")</f>
        <v>Samsung SM -T395</v>
      </c>
      <c r="C1206" s="75">
        <f ca="1">IFERROR(__xludf.DUMMYFUNCTION("""COMPUTED_VALUE"""),330)</f>
        <v>330</v>
      </c>
      <c r="D1206" s="75">
        <f ca="1">IFERROR(__xludf.DUMMYFUNCTION("""COMPUTED_VALUE"""),50)</f>
        <v>50</v>
      </c>
      <c r="E1206" s="76">
        <f ca="1">IFERROR(__xludf.DUMMYFUNCTION("""COMPUTED_VALUE"""),380)</f>
        <v>380</v>
      </c>
      <c r="F1206" s="77">
        <f ca="1">IFERROR(__xludf.DUMMYFUNCTION("""COMPUTED_VALUE"""),10010482)</f>
        <v>10010482</v>
      </c>
      <c r="G1206" s="77" t="str">
        <f t="shared" ca="1" si="4"/>
        <v>si</v>
      </c>
    </row>
    <row r="1207" spans="1:7" ht="12.75" x14ac:dyDescent="0.2">
      <c r="A1207" s="62">
        <f ca="1">IFERROR(__xludf.DUMMYFUNCTION("""COMPUTED_VALUE"""),10160202)</f>
        <v>10160202</v>
      </c>
      <c r="B1207" s="62" t="str">
        <f ca="1">IFERROR(__xludf.DUMMYFUNCTION("""COMPUTED_VALUE"""),"Vidrio trasero Iphone 13")</f>
        <v>Vidrio trasero Iphone 13</v>
      </c>
      <c r="C1207" s="75">
        <f ca="1">IFERROR(__xludf.DUMMYFUNCTION("""COMPUTED_VALUE"""),250)</f>
        <v>250</v>
      </c>
      <c r="D1207" s="75">
        <f ca="1">IFERROR(__xludf.DUMMYFUNCTION("""COMPUTED_VALUE"""),100)</f>
        <v>100</v>
      </c>
      <c r="E1207" s="76">
        <f ca="1">IFERROR(__xludf.DUMMYFUNCTION("""COMPUTED_VALUE"""),350)</f>
        <v>350</v>
      </c>
      <c r="F1207" s="77">
        <f ca="1">IFERROR(__xludf.DUMMYFUNCTION("""COMPUTED_VALUE"""),10160202)</f>
        <v>10160202</v>
      </c>
      <c r="G1207" s="77" t="str">
        <f t="shared" ca="1" si="4"/>
        <v>si</v>
      </c>
    </row>
    <row r="1208" spans="1:7" ht="12.75" x14ac:dyDescent="0.2">
      <c r="A1208" s="62">
        <f ca="1">IFERROR(__xludf.DUMMYFUNCTION("""COMPUTED_VALUE"""),10160203)</f>
        <v>10160203</v>
      </c>
      <c r="B1208" s="62" t="str">
        <f ca="1">IFERROR(__xludf.DUMMYFUNCTION("""COMPUTED_VALUE"""),"Vidrio trasero Iphone 13 Pro")</f>
        <v>Vidrio trasero Iphone 13 Pro</v>
      </c>
      <c r="C1208" s="75">
        <f ca="1">IFERROR(__xludf.DUMMYFUNCTION("""COMPUTED_VALUE"""),250)</f>
        <v>250</v>
      </c>
      <c r="D1208" s="75">
        <f ca="1">IFERROR(__xludf.DUMMYFUNCTION("""COMPUTED_VALUE"""),100)</f>
        <v>100</v>
      </c>
      <c r="E1208" s="76">
        <f ca="1">IFERROR(__xludf.DUMMYFUNCTION("""COMPUTED_VALUE"""),350)</f>
        <v>350</v>
      </c>
      <c r="F1208" s="77">
        <f ca="1">IFERROR(__xludf.DUMMYFUNCTION("""COMPUTED_VALUE"""),10160203)</f>
        <v>10160203</v>
      </c>
      <c r="G1208" s="77" t="str">
        <f t="shared" ca="1" si="4"/>
        <v>si</v>
      </c>
    </row>
    <row r="1209" spans="1:7" ht="12.75" x14ac:dyDescent="0.2">
      <c r="A1209" s="62">
        <f ca="1">IFERROR(__xludf.DUMMYFUNCTION("""COMPUTED_VALUE"""),10160204)</f>
        <v>10160204</v>
      </c>
      <c r="B1209" s="62" t="str">
        <f ca="1">IFERROR(__xludf.DUMMYFUNCTION("""COMPUTED_VALUE"""),"Vidrio trasero Iphone 13 Pro Max ")</f>
        <v xml:space="preserve">Vidrio trasero Iphone 13 Pro Max </v>
      </c>
      <c r="C1209" s="75">
        <f ca="1">IFERROR(__xludf.DUMMYFUNCTION("""COMPUTED_VALUE"""),250)</f>
        <v>250</v>
      </c>
      <c r="D1209" s="75">
        <f ca="1">IFERROR(__xludf.DUMMYFUNCTION("""COMPUTED_VALUE"""),100)</f>
        <v>100</v>
      </c>
      <c r="E1209" s="76">
        <f ca="1">IFERROR(__xludf.DUMMYFUNCTION("""COMPUTED_VALUE"""),350)</f>
        <v>350</v>
      </c>
      <c r="F1209" s="77">
        <f ca="1">IFERROR(__xludf.DUMMYFUNCTION("""COMPUTED_VALUE"""),10160204)</f>
        <v>10160204</v>
      </c>
      <c r="G1209" s="77" t="str">
        <f t="shared" ca="1" si="4"/>
        <v>si</v>
      </c>
    </row>
    <row r="1210" spans="1:7" ht="12.75" x14ac:dyDescent="0.2">
      <c r="A1210" s="62">
        <f ca="1">IFERROR(__xludf.DUMMYFUNCTION("""COMPUTED_VALUE"""),10160205)</f>
        <v>10160205</v>
      </c>
      <c r="B1210" s="62" t="str">
        <f ca="1">IFERROR(__xludf.DUMMYFUNCTION("""COMPUTED_VALUE"""),"Vidrio trasero Iphone 13 Mini")</f>
        <v>Vidrio trasero Iphone 13 Mini</v>
      </c>
      <c r="C1210" s="75">
        <f ca="1">IFERROR(__xludf.DUMMYFUNCTION("""COMPUTED_VALUE"""),250)</f>
        <v>250</v>
      </c>
      <c r="D1210" s="75">
        <f ca="1">IFERROR(__xludf.DUMMYFUNCTION("""COMPUTED_VALUE"""),100)</f>
        <v>100</v>
      </c>
      <c r="E1210" s="76">
        <f ca="1">IFERROR(__xludf.DUMMYFUNCTION("""COMPUTED_VALUE"""),350)</f>
        <v>350</v>
      </c>
      <c r="F1210" s="77">
        <f ca="1">IFERROR(__xludf.DUMMYFUNCTION("""COMPUTED_VALUE"""),10160205)</f>
        <v>10160205</v>
      </c>
      <c r="G1210" s="77" t="str">
        <f t="shared" ca="1" si="4"/>
        <v>si</v>
      </c>
    </row>
    <row r="1211" spans="1:7" ht="12.75" x14ac:dyDescent="0.2">
      <c r="A1211" s="62">
        <f ca="1">IFERROR(__xludf.DUMMYFUNCTION("""COMPUTED_VALUE"""),10160206)</f>
        <v>10160206</v>
      </c>
      <c r="B1211" s="62" t="str">
        <f ca="1">IFERROR(__xludf.DUMMYFUNCTION("""COMPUTED_VALUE"""),"Vidrio trasero Iphone 12 Mini")</f>
        <v>Vidrio trasero Iphone 12 Mini</v>
      </c>
      <c r="C1211" s="75">
        <f ca="1">IFERROR(__xludf.DUMMYFUNCTION("""COMPUTED_VALUE"""),190)</f>
        <v>190</v>
      </c>
      <c r="D1211" s="75">
        <f ca="1">IFERROR(__xludf.DUMMYFUNCTION("""COMPUTED_VALUE"""),100)</f>
        <v>100</v>
      </c>
      <c r="E1211" s="76">
        <f ca="1">IFERROR(__xludf.DUMMYFUNCTION("""COMPUTED_VALUE"""),290)</f>
        <v>290</v>
      </c>
      <c r="F1211" s="77">
        <f ca="1">IFERROR(__xludf.DUMMYFUNCTION("""COMPUTED_VALUE"""),10160206)</f>
        <v>10160206</v>
      </c>
      <c r="G1211" s="77" t="str">
        <f t="shared" ca="1" si="4"/>
        <v>si</v>
      </c>
    </row>
    <row r="1212" spans="1:7" ht="12.75" x14ac:dyDescent="0.2">
      <c r="A1212" s="62">
        <f ca="1">IFERROR(__xludf.DUMMYFUNCTION("""COMPUTED_VALUE"""),10040048)</f>
        <v>10040048</v>
      </c>
      <c r="B1212" s="62" t="str">
        <f ca="1">IFERROR(__xludf.DUMMYFUNCTION("""COMPUTED_VALUE"""),"Vidrio trasero Iphone 12")</f>
        <v>Vidrio trasero Iphone 12</v>
      </c>
      <c r="C1212" s="75">
        <f ca="1">IFERROR(__xludf.DUMMYFUNCTION("""COMPUTED_VALUE"""),190)</f>
        <v>190</v>
      </c>
      <c r="D1212" s="75">
        <f ca="1">IFERROR(__xludf.DUMMYFUNCTION("""COMPUTED_VALUE"""),100)</f>
        <v>100</v>
      </c>
      <c r="E1212" s="76">
        <f ca="1">IFERROR(__xludf.DUMMYFUNCTION("""COMPUTED_VALUE"""),290)</f>
        <v>290</v>
      </c>
      <c r="F1212" s="77">
        <f ca="1">IFERROR(__xludf.DUMMYFUNCTION("""COMPUTED_VALUE"""),10040048)</f>
        <v>10040048</v>
      </c>
      <c r="G1212" s="77" t="str">
        <f t="shared" ca="1" si="4"/>
        <v>si</v>
      </c>
    </row>
    <row r="1213" spans="1:7" ht="12.75" x14ac:dyDescent="0.2">
      <c r="A1213" s="62">
        <f ca="1">IFERROR(__xludf.DUMMYFUNCTION("""COMPUTED_VALUE"""),10040049)</f>
        <v>10040049</v>
      </c>
      <c r="B1213" s="62" t="str">
        <f ca="1">IFERROR(__xludf.DUMMYFUNCTION("""COMPUTED_VALUE"""),"Vidrio trasero Iphone 12 Pro")</f>
        <v>Vidrio trasero Iphone 12 Pro</v>
      </c>
      <c r="C1213" s="75">
        <f ca="1">IFERROR(__xludf.DUMMYFUNCTION("""COMPUTED_VALUE"""),190)</f>
        <v>190</v>
      </c>
      <c r="D1213" s="75">
        <f ca="1">IFERROR(__xludf.DUMMYFUNCTION("""COMPUTED_VALUE"""),100)</f>
        <v>100</v>
      </c>
      <c r="E1213" s="76">
        <f ca="1">IFERROR(__xludf.DUMMYFUNCTION("""COMPUTED_VALUE"""),290)</f>
        <v>290</v>
      </c>
      <c r="F1213" s="77">
        <f ca="1">IFERROR(__xludf.DUMMYFUNCTION("""COMPUTED_VALUE"""),10040049)</f>
        <v>10040049</v>
      </c>
      <c r="G1213" s="77" t="str">
        <f t="shared" ca="1" si="4"/>
        <v>si</v>
      </c>
    </row>
    <row r="1214" spans="1:7" ht="12.75" x14ac:dyDescent="0.2">
      <c r="A1214" s="62">
        <f ca="1">IFERROR(__xludf.DUMMYFUNCTION("""COMPUTED_VALUE"""),10040050)</f>
        <v>10040050</v>
      </c>
      <c r="B1214" s="62" t="str">
        <f ca="1">IFERROR(__xludf.DUMMYFUNCTION("""COMPUTED_VALUE"""),"Vidrio trasero Iphone 12 Pro Max ")</f>
        <v xml:space="preserve">Vidrio trasero Iphone 12 Pro Max </v>
      </c>
      <c r="C1214" s="75">
        <f ca="1">IFERROR(__xludf.DUMMYFUNCTION("""COMPUTED_VALUE"""),190)</f>
        <v>190</v>
      </c>
      <c r="D1214" s="75">
        <f ca="1">IFERROR(__xludf.DUMMYFUNCTION("""COMPUTED_VALUE"""),160)</f>
        <v>160</v>
      </c>
      <c r="E1214" s="76">
        <f ca="1">IFERROR(__xludf.DUMMYFUNCTION("""COMPUTED_VALUE"""),350)</f>
        <v>350</v>
      </c>
      <c r="F1214" s="77">
        <f ca="1">IFERROR(__xludf.DUMMYFUNCTION("""COMPUTED_VALUE"""),10040050)</f>
        <v>10040050</v>
      </c>
      <c r="G1214" s="77" t="str">
        <f t="shared" ca="1" si="4"/>
        <v>si</v>
      </c>
    </row>
    <row r="1215" spans="1:7" ht="12.75" x14ac:dyDescent="0.2">
      <c r="A1215" s="62">
        <f ca="1">IFERROR(__xludf.DUMMYFUNCTION("""COMPUTED_VALUE"""),10160007)</f>
        <v>10160007</v>
      </c>
      <c r="B1215" s="62" t="str">
        <f ca="1">IFERROR(__xludf.DUMMYFUNCTION("""COMPUTED_VALUE"""),"Vidrio trasero Iphone 8G")</f>
        <v>Vidrio trasero Iphone 8G</v>
      </c>
      <c r="C1215" s="75">
        <f ca="1">IFERROR(__xludf.DUMMYFUNCTION("""COMPUTED_VALUE"""),60)</f>
        <v>60</v>
      </c>
      <c r="D1215" s="75">
        <f ca="1">IFERROR(__xludf.DUMMYFUNCTION("""COMPUTED_VALUE"""),80)</f>
        <v>80</v>
      </c>
      <c r="E1215" s="76">
        <f ca="1">IFERROR(__xludf.DUMMYFUNCTION("""COMPUTED_VALUE"""),140)</f>
        <v>140</v>
      </c>
      <c r="F1215" s="77">
        <f ca="1">IFERROR(__xludf.DUMMYFUNCTION("""COMPUTED_VALUE"""),10160007)</f>
        <v>10160007</v>
      </c>
      <c r="G1215" s="77" t="str">
        <f t="shared" ca="1" si="4"/>
        <v>si</v>
      </c>
    </row>
    <row r="1216" spans="1:7" ht="12.75" x14ac:dyDescent="0.2">
      <c r="A1216" s="62">
        <f ca="1">IFERROR(__xludf.DUMMYFUNCTION("""COMPUTED_VALUE"""),10160008)</f>
        <v>10160008</v>
      </c>
      <c r="B1216" s="62" t="str">
        <f ca="1">IFERROR(__xludf.DUMMYFUNCTION("""COMPUTED_VALUE"""),"Vidrio trasero Iphone 8P")</f>
        <v>Vidrio trasero Iphone 8P</v>
      </c>
      <c r="C1216" s="75">
        <f ca="1">IFERROR(__xludf.DUMMYFUNCTION("""COMPUTED_VALUE"""),60)</f>
        <v>60</v>
      </c>
      <c r="D1216" s="75">
        <f ca="1">IFERROR(__xludf.DUMMYFUNCTION("""COMPUTED_VALUE"""),80)</f>
        <v>80</v>
      </c>
      <c r="E1216" s="76">
        <f ca="1">IFERROR(__xludf.DUMMYFUNCTION("""COMPUTED_VALUE"""),140)</f>
        <v>140</v>
      </c>
      <c r="F1216" s="77">
        <f ca="1">IFERROR(__xludf.DUMMYFUNCTION("""COMPUTED_VALUE"""),10160008)</f>
        <v>10160008</v>
      </c>
      <c r="G1216" s="77" t="str">
        <f t="shared" ca="1" si="4"/>
        <v>si</v>
      </c>
    </row>
    <row r="1217" spans="1:7" ht="12.75" x14ac:dyDescent="0.2">
      <c r="A1217" s="62">
        <f ca="1">IFERROR(__xludf.DUMMYFUNCTION("""COMPUTED_VALUE"""),10160010)</f>
        <v>10160010</v>
      </c>
      <c r="B1217" s="62" t="str">
        <f ca="1">IFERROR(__xludf.DUMMYFUNCTION("""COMPUTED_VALUE"""),"Vidrio trasero Iphone X ")</f>
        <v xml:space="preserve">Vidrio trasero Iphone X </v>
      </c>
      <c r="C1217" s="75">
        <f ca="1">IFERROR(__xludf.DUMMYFUNCTION("""COMPUTED_VALUE"""),110)</f>
        <v>110</v>
      </c>
      <c r="D1217" s="75">
        <f ca="1">IFERROR(__xludf.DUMMYFUNCTION("""COMPUTED_VALUE"""),80)</f>
        <v>80</v>
      </c>
      <c r="E1217" s="76">
        <f ca="1">IFERROR(__xludf.DUMMYFUNCTION("""COMPUTED_VALUE"""),190)</f>
        <v>190</v>
      </c>
      <c r="F1217" s="77">
        <f ca="1">IFERROR(__xludf.DUMMYFUNCTION("""COMPUTED_VALUE"""),10160010)</f>
        <v>10160010</v>
      </c>
      <c r="G1217" s="77" t="str">
        <f t="shared" ca="1" si="4"/>
        <v>si</v>
      </c>
    </row>
    <row r="1218" spans="1:7" ht="12.75" x14ac:dyDescent="0.2">
      <c r="A1218" s="62">
        <f ca="1">IFERROR(__xludf.DUMMYFUNCTION("""COMPUTED_VALUE"""),10040043)</f>
        <v>10040043</v>
      </c>
      <c r="B1218" s="62" t="str">
        <f ca="1">IFERROR(__xludf.DUMMYFUNCTION("""COMPUTED_VALUE"""),"Vidrio Trasero Iphone Xr")</f>
        <v>Vidrio Trasero Iphone Xr</v>
      </c>
      <c r="C1218" s="75">
        <f ca="1">IFERROR(__xludf.DUMMYFUNCTION("""COMPUTED_VALUE"""),110)</f>
        <v>110</v>
      </c>
      <c r="D1218" s="75">
        <f ca="1">IFERROR(__xludf.DUMMYFUNCTION("""COMPUTED_VALUE"""),80)</f>
        <v>80</v>
      </c>
      <c r="E1218" s="76">
        <f ca="1">IFERROR(__xludf.DUMMYFUNCTION("""COMPUTED_VALUE"""),190)</f>
        <v>190</v>
      </c>
      <c r="F1218" s="77">
        <f ca="1">IFERROR(__xludf.DUMMYFUNCTION("""COMPUTED_VALUE"""),10040043)</f>
        <v>10040043</v>
      </c>
      <c r="G1218" s="77" t="str">
        <f t="shared" ca="1" si="4"/>
        <v>si</v>
      </c>
    </row>
    <row r="1219" spans="1:7" ht="12.75" x14ac:dyDescent="0.2">
      <c r="A1219" s="62">
        <f ca="1">IFERROR(__xludf.DUMMYFUNCTION("""COMPUTED_VALUE"""),10040044)</f>
        <v>10040044</v>
      </c>
      <c r="B1219" s="62" t="str">
        <f ca="1">IFERROR(__xludf.DUMMYFUNCTION("""COMPUTED_VALUE"""),"Vidrio Trasero Iphone Xs Max ")</f>
        <v xml:space="preserve">Vidrio Trasero Iphone Xs Max </v>
      </c>
      <c r="C1219" s="75">
        <f ca="1">IFERROR(__xludf.DUMMYFUNCTION("""COMPUTED_VALUE"""),110)</f>
        <v>110</v>
      </c>
      <c r="D1219" s="75">
        <f ca="1">IFERROR(__xludf.DUMMYFUNCTION("""COMPUTED_VALUE"""),80)</f>
        <v>80</v>
      </c>
      <c r="E1219" s="76">
        <f ca="1">IFERROR(__xludf.DUMMYFUNCTION("""COMPUTED_VALUE"""),190)</f>
        <v>190</v>
      </c>
      <c r="F1219" s="77">
        <f ca="1">IFERROR(__xludf.DUMMYFUNCTION("""COMPUTED_VALUE"""),10040044)</f>
        <v>10040044</v>
      </c>
      <c r="G1219" s="77" t="str">
        <f t="shared" ca="1" si="4"/>
        <v>si</v>
      </c>
    </row>
    <row r="1220" spans="1:7" ht="12.75" x14ac:dyDescent="0.2">
      <c r="A1220" s="62">
        <f ca="1">IFERROR(__xludf.DUMMYFUNCTION("""COMPUTED_VALUE"""),10040045)</f>
        <v>10040045</v>
      </c>
      <c r="B1220" s="62" t="str">
        <f ca="1">IFERROR(__xludf.DUMMYFUNCTION("""COMPUTED_VALUE"""),"Vidrio trasero Iphone 11")</f>
        <v>Vidrio trasero Iphone 11</v>
      </c>
      <c r="C1220" s="75">
        <f ca="1">IFERROR(__xludf.DUMMYFUNCTION("""COMPUTED_VALUE"""),130)</f>
        <v>130</v>
      </c>
      <c r="D1220" s="75">
        <f ca="1">IFERROR(__xludf.DUMMYFUNCTION("""COMPUTED_VALUE"""),100)</f>
        <v>100</v>
      </c>
      <c r="E1220" s="76">
        <f ca="1">IFERROR(__xludf.DUMMYFUNCTION("""COMPUTED_VALUE"""),230)</f>
        <v>230</v>
      </c>
      <c r="F1220" s="77">
        <f ca="1">IFERROR(__xludf.DUMMYFUNCTION("""COMPUTED_VALUE"""),10040045)</f>
        <v>10040045</v>
      </c>
      <c r="G1220" s="77" t="str">
        <f t="shared" ca="1" si="4"/>
        <v>si</v>
      </c>
    </row>
    <row r="1221" spans="1:7" ht="12.75" x14ac:dyDescent="0.2">
      <c r="A1221" s="62">
        <f ca="1">IFERROR(__xludf.DUMMYFUNCTION("""COMPUTED_VALUE"""),10040046)</f>
        <v>10040046</v>
      </c>
      <c r="B1221" s="62" t="str">
        <f ca="1">IFERROR(__xludf.DUMMYFUNCTION("""COMPUTED_VALUE"""),"Vidrio trasero Iphone 11 Pro ")</f>
        <v xml:space="preserve">Vidrio trasero Iphone 11 Pro </v>
      </c>
      <c r="C1221" s="75">
        <f ca="1">IFERROR(__xludf.DUMMYFUNCTION("""COMPUTED_VALUE"""),130)</f>
        <v>130</v>
      </c>
      <c r="D1221" s="75">
        <f ca="1">IFERROR(__xludf.DUMMYFUNCTION("""COMPUTED_VALUE"""),100)</f>
        <v>100</v>
      </c>
      <c r="E1221" s="76">
        <f ca="1">IFERROR(__xludf.DUMMYFUNCTION("""COMPUTED_VALUE"""),230)</f>
        <v>230</v>
      </c>
      <c r="F1221" s="77">
        <f ca="1">IFERROR(__xludf.DUMMYFUNCTION("""COMPUTED_VALUE"""),10040046)</f>
        <v>10040046</v>
      </c>
      <c r="G1221" s="77" t="str">
        <f t="shared" ca="1" si="4"/>
        <v>si</v>
      </c>
    </row>
    <row r="1222" spans="1:7" ht="12.75" x14ac:dyDescent="0.2">
      <c r="A1222" s="62">
        <f ca="1">IFERROR(__xludf.DUMMYFUNCTION("""COMPUTED_VALUE"""),10040047)</f>
        <v>10040047</v>
      </c>
      <c r="B1222" s="62" t="str">
        <f ca="1">IFERROR(__xludf.DUMMYFUNCTION("""COMPUTED_VALUE"""),"Vidrio trasero Iphone 11 Pro Max ")</f>
        <v xml:space="preserve">Vidrio trasero Iphone 11 Pro Max </v>
      </c>
      <c r="C1222" s="75">
        <f ca="1">IFERROR(__xludf.DUMMYFUNCTION("""COMPUTED_VALUE"""),130)</f>
        <v>130</v>
      </c>
      <c r="D1222" s="75">
        <f ca="1">IFERROR(__xludf.DUMMYFUNCTION("""COMPUTED_VALUE"""),100)</f>
        <v>100</v>
      </c>
      <c r="E1222" s="76">
        <f ca="1">IFERROR(__xludf.DUMMYFUNCTION("""COMPUTED_VALUE"""),230)</f>
        <v>230</v>
      </c>
      <c r="F1222" s="77">
        <f ca="1">IFERROR(__xludf.DUMMYFUNCTION("""COMPUTED_VALUE"""),10040047)</f>
        <v>10040047</v>
      </c>
      <c r="G1222" s="77" t="str">
        <f t="shared" ca="1" si="4"/>
        <v>si</v>
      </c>
    </row>
    <row r="1223" spans="1:7" ht="12.75" x14ac:dyDescent="0.2">
      <c r="A1223" s="62">
        <f ca="1">IFERROR(__xludf.DUMMYFUNCTION("""COMPUTED_VALUE"""),10040039)</f>
        <v>10040039</v>
      </c>
      <c r="B1223" s="62" t="str">
        <f ca="1">IFERROR(__xludf.DUMMYFUNCTION("""COMPUTED_VALUE"""),"Tapa Trasera Huawei Mate 20 Lite ")</f>
        <v xml:space="preserve">Tapa Trasera Huawei Mate 20 Lite </v>
      </c>
      <c r="C1223" s="75">
        <f ca="1">IFERROR(__xludf.DUMMYFUNCTION("""COMPUTED_VALUE"""),70)</f>
        <v>70</v>
      </c>
      <c r="D1223" s="75">
        <f ca="1">IFERROR(__xludf.DUMMYFUNCTION("""COMPUTED_VALUE"""),50)</f>
        <v>50</v>
      </c>
      <c r="E1223" s="76">
        <f ca="1">IFERROR(__xludf.DUMMYFUNCTION("""COMPUTED_VALUE"""),120)</f>
        <v>120</v>
      </c>
      <c r="F1223" s="77">
        <f ca="1">IFERROR(__xludf.DUMMYFUNCTION("""COMPUTED_VALUE"""),10040039)</f>
        <v>10040039</v>
      </c>
      <c r="G1223" s="77" t="str">
        <f t="shared" ca="1" si="4"/>
        <v>si</v>
      </c>
    </row>
    <row r="1224" spans="1:7" ht="12.75" x14ac:dyDescent="0.2">
      <c r="A1224" s="62">
        <f ca="1">IFERROR(__xludf.DUMMYFUNCTION("""COMPUTED_VALUE"""),10040038)</f>
        <v>10040038</v>
      </c>
      <c r="B1224" s="62" t="str">
        <f ca="1">IFERROR(__xludf.DUMMYFUNCTION("""COMPUTED_VALUE"""),"Tapa Trasera Huawei Mate 20 Pro")</f>
        <v>Tapa Trasera Huawei Mate 20 Pro</v>
      </c>
      <c r="C1224" s="75">
        <f ca="1">IFERROR(__xludf.DUMMYFUNCTION("""COMPUTED_VALUE"""),70)</f>
        <v>70</v>
      </c>
      <c r="D1224" s="75">
        <f ca="1">IFERROR(__xludf.DUMMYFUNCTION("""COMPUTED_VALUE"""),50)</f>
        <v>50</v>
      </c>
      <c r="E1224" s="76">
        <f ca="1">IFERROR(__xludf.DUMMYFUNCTION("""COMPUTED_VALUE"""),120)</f>
        <v>120</v>
      </c>
      <c r="F1224" s="77">
        <f ca="1">IFERROR(__xludf.DUMMYFUNCTION("""COMPUTED_VALUE"""),10040038)</f>
        <v>10040038</v>
      </c>
      <c r="G1224" s="77" t="str">
        <f t="shared" ca="1" si="4"/>
        <v>si</v>
      </c>
    </row>
    <row r="1225" spans="1:7" ht="12.75" x14ac:dyDescent="0.2">
      <c r="A1225" s="62">
        <f ca="1">IFERROR(__xludf.DUMMYFUNCTION("""COMPUTED_VALUE"""),10040041)</f>
        <v>10040041</v>
      </c>
      <c r="B1225" s="62" t="str">
        <f ca="1">IFERROR(__xludf.DUMMYFUNCTION("""COMPUTED_VALUE"""),"Tapa Trasera Huawei Nova 5T")</f>
        <v>Tapa Trasera Huawei Nova 5T</v>
      </c>
      <c r="C1225" s="75">
        <f ca="1">IFERROR(__xludf.DUMMYFUNCTION("""COMPUTED_VALUE"""),70)</f>
        <v>70</v>
      </c>
      <c r="D1225" s="75">
        <f ca="1">IFERROR(__xludf.DUMMYFUNCTION("""COMPUTED_VALUE"""),50)</f>
        <v>50</v>
      </c>
      <c r="E1225" s="76">
        <f ca="1">IFERROR(__xludf.DUMMYFUNCTION("""COMPUTED_VALUE"""),120)</f>
        <v>120</v>
      </c>
      <c r="F1225" s="77">
        <f ca="1">IFERROR(__xludf.DUMMYFUNCTION("""COMPUTED_VALUE"""),10040041)</f>
        <v>10040041</v>
      </c>
      <c r="G1225" s="77" t="str">
        <f t="shared" ca="1" si="4"/>
        <v>si</v>
      </c>
    </row>
    <row r="1226" spans="1:7" ht="12.75" x14ac:dyDescent="0.2">
      <c r="A1226" s="62">
        <f ca="1">IFERROR(__xludf.DUMMYFUNCTION("""COMPUTED_VALUE"""),10040032)</f>
        <v>10040032</v>
      </c>
      <c r="B1226" s="62" t="str">
        <f ca="1">IFERROR(__xludf.DUMMYFUNCTION("""COMPUTED_VALUE"""),"Tapa Trasera Huawei P20")</f>
        <v>Tapa Trasera Huawei P20</v>
      </c>
      <c r="C1226" s="75">
        <f ca="1">IFERROR(__xludf.DUMMYFUNCTION("""COMPUTED_VALUE"""),70)</f>
        <v>70</v>
      </c>
      <c r="D1226" s="75">
        <f ca="1">IFERROR(__xludf.DUMMYFUNCTION("""COMPUTED_VALUE"""),50)</f>
        <v>50</v>
      </c>
      <c r="E1226" s="76">
        <f ca="1">IFERROR(__xludf.DUMMYFUNCTION("""COMPUTED_VALUE"""),120)</f>
        <v>120</v>
      </c>
      <c r="F1226" s="77">
        <f ca="1">IFERROR(__xludf.DUMMYFUNCTION("""COMPUTED_VALUE"""),10040032)</f>
        <v>10040032</v>
      </c>
      <c r="G1226" s="77" t="str">
        <f t="shared" ca="1" si="4"/>
        <v>si</v>
      </c>
    </row>
    <row r="1227" spans="1:7" ht="12.75" x14ac:dyDescent="0.2">
      <c r="A1227" s="62">
        <f ca="1">IFERROR(__xludf.DUMMYFUNCTION("""COMPUTED_VALUE"""),10040034)</f>
        <v>10040034</v>
      </c>
      <c r="B1227" s="62" t="str">
        <f ca="1">IFERROR(__xludf.DUMMYFUNCTION("""COMPUTED_VALUE"""),"Tapa Trasera Huawei P20 Lite ")</f>
        <v xml:space="preserve">Tapa Trasera Huawei P20 Lite </v>
      </c>
      <c r="C1227" s="75">
        <f ca="1">IFERROR(__xludf.DUMMYFUNCTION("""COMPUTED_VALUE"""),70)</f>
        <v>70</v>
      </c>
      <c r="D1227" s="75">
        <f ca="1">IFERROR(__xludf.DUMMYFUNCTION("""COMPUTED_VALUE"""),50)</f>
        <v>50</v>
      </c>
      <c r="E1227" s="76">
        <f ca="1">IFERROR(__xludf.DUMMYFUNCTION("""COMPUTED_VALUE"""),120)</f>
        <v>120</v>
      </c>
      <c r="F1227" s="77">
        <f ca="1">IFERROR(__xludf.DUMMYFUNCTION("""COMPUTED_VALUE"""),10040034)</f>
        <v>10040034</v>
      </c>
      <c r="G1227" s="77" t="str">
        <f t="shared" ca="1" si="4"/>
        <v>si</v>
      </c>
    </row>
    <row r="1228" spans="1:7" ht="12.75" x14ac:dyDescent="0.2">
      <c r="A1228" s="62">
        <f ca="1">IFERROR(__xludf.DUMMYFUNCTION("""COMPUTED_VALUE"""),10040033)</f>
        <v>10040033</v>
      </c>
      <c r="B1228" s="62" t="str">
        <f ca="1">IFERROR(__xludf.DUMMYFUNCTION("""COMPUTED_VALUE"""),"Tapa Trasera Huawei P20 Pro")</f>
        <v>Tapa Trasera Huawei P20 Pro</v>
      </c>
      <c r="C1228" s="75">
        <f ca="1">IFERROR(__xludf.DUMMYFUNCTION("""COMPUTED_VALUE"""),70)</f>
        <v>70</v>
      </c>
      <c r="D1228" s="75">
        <f ca="1">IFERROR(__xludf.DUMMYFUNCTION("""COMPUTED_VALUE"""),50)</f>
        <v>50</v>
      </c>
      <c r="E1228" s="76">
        <f ca="1">IFERROR(__xludf.DUMMYFUNCTION("""COMPUTED_VALUE"""),120)</f>
        <v>120</v>
      </c>
      <c r="F1228" s="77">
        <f ca="1">IFERROR(__xludf.DUMMYFUNCTION("""COMPUTED_VALUE"""),10040033)</f>
        <v>10040033</v>
      </c>
      <c r="G1228" s="77" t="str">
        <f t="shared" ca="1" si="4"/>
        <v>si</v>
      </c>
    </row>
    <row r="1229" spans="1:7" ht="12.75" x14ac:dyDescent="0.2">
      <c r="A1229" s="62">
        <f ca="1">IFERROR(__xludf.DUMMYFUNCTION("""COMPUTED_VALUE"""),10040035)</f>
        <v>10040035</v>
      </c>
      <c r="B1229" s="62" t="str">
        <f ca="1">IFERROR(__xludf.DUMMYFUNCTION("""COMPUTED_VALUE"""),"Tapa Trasera Huawei P30")</f>
        <v>Tapa Trasera Huawei P30</v>
      </c>
      <c r="C1229" s="75">
        <f ca="1">IFERROR(__xludf.DUMMYFUNCTION("""COMPUTED_VALUE"""),70)</f>
        <v>70</v>
      </c>
      <c r="D1229" s="75">
        <f ca="1">IFERROR(__xludf.DUMMYFUNCTION("""COMPUTED_VALUE"""),50)</f>
        <v>50</v>
      </c>
      <c r="E1229" s="76">
        <f ca="1">IFERROR(__xludf.DUMMYFUNCTION("""COMPUTED_VALUE"""),120)</f>
        <v>120</v>
      </c>
      <c r="F1229" s="77">
        <f ca="1">IFERROR(__xludf.DUMMYFUNCTION("""COMPUTED_VALUE"""),10040035)</f>
        <v>10040035</v>
      </c>
      <c r="G1229" s="77" t="str">
        <f t="shared" ca="1" si="4"/>
        <v>si</v>
      </c>
    </row>
    <row r="1230" spans="1:7" ht="12.75" x14ac:dyDescent="0.2">
      <c r="A1230" s="62">
        <f ca="1">IFERROR(__xludf.DUMMYFUNCTION("""COMPUTED_VALUE"""),10040036)</f>
        <v>10040036</v>
      </c>
      <c r="B1230" s="62" t="str">
        <f ca="1">IFERROR(__xludf.DUMMYFUNCTION("""COMPUTED_VALUE"""),"Tapa Trasera Huawei P30 Lite")</f>
        <v>Tapa Trasera Huawei P30 Lite</v>
      </c>
      <c r="C1230" s="75">
        <f ca="1">IFERROR(__xludf.DUMMYFUNCTION("""COMPUTED_VALUE"""),70)</f>
        <v>70</v>
      </c>
      <c r="D1230" s="75">
        <f ca="1">IFERROR(__xludf.DUMMYFUNCTION("""COMPUTED_VALUE"""),50)</f>
        <v>50</v>
      </c>
      <c r="E1230" s="76">
        <f ca="1">IFERROR(__xludf.DUMMYFUNCTION("""COMPUTED_VALUE"""),120)</f>
        <v>120</v>
      </c>
      <c r="F1230" s="77">
        <f ca="1">IFERROR(__xludf.DUMMYFUNCTION("""COMPUTED_VALUE"""),10040036)</f>
        <v>10040036</v>
      </c>
      <c r="G1230" s="77" t="str">
        <f t="shared" ca="1" si="4"/>
        <v>si</v>
      </c>
    </row>
    <row r="1231" spans="1:7" ht="12.75" x14ac:dyDescent="0.2">
      <c r="A1231" s="62">
        <f ca="1">IFERROR(__xludf.DUMMYFUNCTION("""COMPUTED_VALUE"""),10040037)</f>
        <v>10040037</v>
      </c>
      <c r="B1231" s="62" t="str">
        <f ca="1">IFERROR(__xludf.DUMMYFUNCTION("""COMPUTED_VALUE"""),"Tapa Trasera Huawei P30 Pro")</f>
        <v>Tapa Trasera Huawei P30 Pro</v>
      </c>
      <c r="C1231" s="75">
        <f ca="1">IFERROR(__xludf.DUMMYFUNCTION("""COMPUTED_VALUE"""),70)</f>
        <v>70</v>
      </c>
      <c r="D1231" s="75">
        <f ca="1">IFERROR(__xludf.DUMMYFUNCTION("""COMPUTED_VALUE"""),50)</f>
        <v>50</v>
      </c>
      <c r="E1231" s="76">
        <f ca="1">IFERROR(__xludf.DUMMYFUNCTION("""COMPUTED_VALUE"""),120)</f>
        <v>120</v>
      </c>
      <c r="F1231" s="77">
        <f ca="1">IFERROR(__xludf.DUMMYFUNCTION("""COMPUTED_VALUE"""),10040037)</f>
        <v>10040037</v>
      </c>
      <c r="G1231" s="77" t="str">
        <f t="shared" ca="1" si="4"/>
        <v>si</v>
      </c>
    </row>
    <row r="1232" spans="1:7" ht="12.75" x14ac:dyDescent="0.2">
      <c r="A1232" s="62">
        <f ca="1">IFERROR(__xludf.DUMMYFUNCTION("""COMPUTED_VALUE"""),10040040)</f>
        <v>10040040</v>
      </c>
      <c r="B1232" s="62" t="str">
        <f ca="1">IFERROR(__xludf.DUMMYFUNCTION("""COMPUTED_VALUE"""),"Tapa Trasera Huawei Y9 Prime 2019")</f>
        <v>Tapa Trasera Huawei Y9 Prime 2019</v>
      </c>
      <c r="C1232" s="75">
        <f ca="1">IFERROR(__xludf.DUMMYFUNCTION("""COMPUTED_VALUE"""),70)</f>
        <v>70</v>
      </c>
      <c r="D1232" s="75">
        <f ca="1">IFERROR(__xludf.DUMMYFUNCTION("""COMPUTED_VALUE"""),50)</f>
        <v>50</v>
      </c>
      <c r="E1232" s="76">
        <f ca="1">IFERROR(__xludf.DUMMYFUNCTION("""COMPUTED_VALUE"""),120)</f>
        <v>120</v>
      </c>
      <c r="F1232" s="77">
        <f ca="1">IFERROR(__xludf.DUMMYFUNCTION("""COMPUTED_VALUE"""),10040040)</f>
        <v>10040040</v>
      </c>
      <c r="G1232" s="77" t="str">
        <f t="shared" ca="1" si="4"/>
        <v>si</v>
      </c>
    </row>
    <row r="1233" spans="1:7" ht="12.75" x14ac:dyDescent="0.2">
      <c r="A1233" s="62">
        <f ca="1">IFERROR(__xludf.DUMMYFUNCTION("""COMPUTED_VALUE"""),10040023)</f>
        <v>10040023</v>
      </c>
      <c r="B1233" s="62" t="str">
        <f ca="1">IFERROR(__xludf.DUMMYFUNCTION("""COMPUTED_VALUE"""),"Tapa Trasera Samsung A10")</f>
        <v>Tapa Trasera Samsung A10</v>
      </c>
      <c r="C1233" s="75">
        <f ca="1">IFERROR(__xludf.DUMMYFUNCTION("""COMPUTED_VALUE"""),70)</f>
        <v>70</v>
      </c>
      <c r="D1233" s="75">
        <f ca="1">IFERROR(__xludf.DUMMYFUNCTION("""COMPUTED_VALUE"""),20)</f>
        <v>20</v>
      </c>
      <c r="E1233" s="76">
        <f ca="1">IFERROR(__xludf.DUMMYFUNCTION("""COMPUTED_VALUE"""),90)</f>
        <v>90</v>
      </c>
      <c r="F1233" s="77">
        <f ca="1">IFERROR(__xludf.DUMMYFUNCTION("""COMPUTED_VALUE"""),10040023)</f>
        <v>10040023</v>
      </c>
      <c r="G1233" s="77" t="str">
        <f t="shared" ca="1" si="4"/>
        <v>si</v>
      </c>
    </row>
    <row r="1234" spans="1:7" ht="12.75" x14ac:dyDescent="0.2">
      <c r="A1234" s="62">
        <f ca="1">IFERROR(__xludf.DUMMYFUNCTION("""COMPUTED_VALUE"""),10040024)</f>
        <v>10040024</v>
      </c>
      <c r="B1234" s="62" t="str">
        <f ca="1">IFERROR(__xludf.DUMMYFUNCTION("""COMPUTED_VALUE"""),"Tapa Trasera Samsung A20")</f>
        <v>Tapa Trasera Samsung A20</v>
      </c>
      <c r="C1234" s="75">
        <f ca="1">IFERROR(__xludf.DUMMYFUNCTION("""COMPUTED_VALUE"""),70)</f>
        <v>70</v>
      </c>
      <c r="D1234" s="75">
        <f ca="1">IFERROR(__xludf.DUMMYFUNCTION("""COMPUTED_VALUE"""),20)</f>
        <v>20</v>
      </c>
      <c r="E1234" s="76">
        <f ca="1">IFERROR(__xludf.DUMMYFUNCTION("""COMPUTED_VALUE"""),90)</f>
        <v>90</v>
      </c>
      <c r="F1234" s="77">
        <f ca="1">IFERROR(__xludf.DUMMYFUNCTION("""COMPUTED_VALUE"""),10040024)</f>
        <v>10040024</v>
      </c>
      <c r="G1234" s="77" t="str">
        <f t="shared" ca="1" si="4"/>
        <v>si</v>
      </c>
    </row>
    <row r="1235" spans="1:7" ht="12.75" x14ac:dyDescent="0.2">
      <c r="A1235" s="62">
        <f ca="1">IFERROR(__xludf.DUMMYFUNCTION("""COMPUTED_VALUE"""),10040030)</f>
        <v>10040030</v>
      </c>
      <c r="B1235" s="62" t="str">
        <f ca="1">IFERROR(__xludf.DUMMYFUNCTION("""COMPUTED_VALUE"""),"Tapa Trasera Samsung A20S")</f>
        <v>Tapa Trasera Samsung A20S</v>
      </c>
      <c r="C1235" s="75">
        <f ca="1">IFERROR(__xludf.DUMMYFUNCTION("""COMPUTED_VALUE"""),70)</f>
        <v>70</v>
      </c>
      <c r="D1235" s="75">
        <f ca="1">IFERROR(__xludf.DUMMYFUNCTION("""COMPUTED_VALUE"""),20)</f>
        <v>20</v>
      </c>
      <c r="E1235" s="76">
        <f ca="1">IFERROR(__xludf.DUMMYFUNCTION("""COMPUTED_VALUE"""),90)</f>
        <v>90</v>
      </c>
      <c r="F1235" s="77">
        <f ca="1">IFERROR(__xludf.DUMMYFUNCTION("""COMPUTED_VALUE"""),10040030)</f>
        <v>10040030</v>
      </c>
      <c r="G1235" s="77" t="str">
        <f t="shared" ca="1" si="4"/>
        <v>si</v>
      </c>
    </row>
    <row r="1236" spans="1:7" ht="12.75" x14ac:dyDescent="0.2">
      <c r="A1236" s="62">
        <f ca="1">IFERROR(__xludf.DUMMYFUNCTION("""COMPUTED_VALUE"""),10040025)</f>
        <v>10040025</v>
      </c>
      <c r="B1236" s="62" t="str">
        <f ca="1">IFERROR(__xludf.DUMMYFUNCTION("""COMPUTED_VALUE"""),"Tapa Trasera Samsung A30")</f>
        <v>Tapa Trasera Samsung A30</v>
      </c>
      <c r="C1236" s="75">
        <f ca="1">IFERROR(__xludf.DUMMYFUNCTION("""COMPUTED_VALUE"""),70)</f>
        <v>70</v>
      </c>
      <c r="D1236" s="75">
        <f ca="1">IFERROR(__xludf.DUMMYFUNCTION("""COMPUTED_VALUE"""),20)</f>
        <v>20</v>
      </c>
      <c r="E1236" s="76">
        <f ca="1">IFERROR(__xludf.DUMMYFUNCTION("""COMPUTED_VALUE"""),90)</f>
        <v>90</v>
      </c>
      <c r="F1236" s="77">
        <f ca="1">IFERROR(__xludf.DUMMYFUNCTION("""COMPUTED_VALUE"""),10040025)</f>
        <v>10040025</v>
      </c>
      <c r="G1236" s="77" t="str">
        <f t="shared" ca="1" si="4"/>
        <v>si</v>
      </c>
    </row>
    <row r="1237" spans="1:7" ht="12.75" x14ac:dyDescent="0.2">
      <c r="A1237" s="62">
        <f ca="1">IFERROR(__xludf.DUMMYFUNCTION("""COMPUTED_VALUE"""),10040031)</f>
        <v>10040031</v>
      </c>
      <c r="B1237" s="62" t="str">
        <f ca="1">IFERROR(__xludf.DUMMYFUNCTION("""COMPUTED_VALUE"""),"Tapa Trasera Samsung A30S")</f>
        <v>Tapa Trasera Samsung A30S</v>
      </c>
      <c r="C1237" s="75">
        <f ca="1">IFERROR(__xludf.DUMMYFUNCTION("""COMPUTED_VALUE"""),70)</f>
        <v>70</v>
      </c>
      <c r="D1237" s="75">
        <f ca="1">IFERROR(__xludf.DUMMYFUNCTION("""COMPUTED_VALUE"""),20)</f>
        <v>20</v>
      </c>
      <c r="E1237" s="76">
        <f ca="1">IFERROR(__xludf.DUMMYFUNCTION("""COMPUTED_VALUE"""),90)</f>
        <v>90</v>
      </c>
      <c r="F1237" s="77">
        <f ca="1">IFERROR(__xludf.DUMMYFUNCTION("""COMPUTED_VALUE"""),10040031)</f>
        <v>10040031</v>
      </c>
      <c r="G1237" s="77" t="str">
        <f t="shared" ca="1" si="4"/>
        <v>si</v>
      </c>
    </row>
    <row r="1238" spans="1:7" ht="12.75" x14ac:dyDescent="0.2">
      <c r="A1238" s="62">
        <f ca="1">IFERROR(__xludf.DUMMYFUNCTION("""COMPUTED_VALUE"""),10040026)</f>
        <v>10040026</v>
      </c>
      <c r="B1238" s="62" t="str">
        <f ca="1">IFERROR(__xludf.DUMMYFUNCTION("""COMPUTED_VALUE"""),"Tapa Trasera Samsung A50")</f>
        <v>Tapa Trasera Samsung A50</v>
      </c>
      <c r="C1238" s="75">
        <f ca="1">IFERROR(__xludf.DUMMYFUNCTION("""COMPUTED_VALUE"""),70)</f>
        <v>70</v>
      </c>
      <c r="D1238" s="75">
        <f ca="1">IFERROR(__xludf.DUMMYFUNCTION("""COMPUTED_VALUE"""),20)</f>
        <v>20</v>
      </c>
      <c r="E1238" s="76">
        <f ca="1">IFERROR(__xludf.DUMMYFUNCTION("""COMPUTED_VALUE"""),90)</f>
        <v>90</v>
      </c>
      <c r="F1238" s="77">
        <f ca="1">IFERROR(__xludf.DUMMYFUNCTION("""COMPUTED_VALUE"""),10040026)</f>
        <v>10040026</v>
      </c>
      <c r="G1238" s="77" t="str">
        <f t="shared" ca="1" si="4"/>
        <v>si</v>
      </c>
    </row>
    <row r="1239" spans="1:7" ht="12.75" x14ac:dyDescent="0.2">
      <c r="A1239" s="62">
        <f ca="1">IFERROR(__xludf.DUMMYFUNCTION("""COMPUTED_VALUE"""),10040028)</f>
        <v>10040028</v>
      </c>
      <c r="B1239" s="62" t="str">
        <f ca="1">IFERROR(__xludf.DUMMYFUNCTION("""COMPUTED_VALUE"""),"Tapa Trasera Samsung A51")</f>
        <v>Tapa Trasera Samsung A51</v>
      </c>
      <c r="C1239" s="75">
        <f ca="1">IFERROR(__xludf.DUMMYFUNCTION("""COMPUTED_VALUE"""),70)</f>
        <v>70</v>
      </c>
      <c r="D1239" s="75">
        <f ca="1">IFERROR(__xludf.DUMMYFUNCTION("""COMPUTED_VALUE"""),20)</f>
        <v>20</v>
      </c>
      <c r="E1239" s="76">
        <f ca="1">IFERROR(__xludf.DUMMYFUNCTION("""COMPUTED_VALUE"""),90)</f>
        <v>90</v>
      </c>
      <c r="F1239" s="77">
        <f ca="1">IFERROR(__xludf.DUMMYFUNCTION("""COMPUTED_VALUE"""),10040028)</f>
        <v>10040028</v>
      </c>
      <c r="G1239" s="77" t="str">
        <f t="shared" ca="1" si="4"/>
        <v>si</v>
      </c>
    </row>
    <row r="1240" spans="1:7" ht="12.75" x14ac:dyDescent="0.2">
      <c r="A1240" s="62">
        <f ca="1">IFERROR(__xludf.DUMMYFUNCTION("""COMPUTED_VALUE"""),10040027)</f>
        <v>10040027</v>
      </c>
      <c r="B1240" s="62" t="str">
        <f ca="1">IFERROR(__xludf.DUMMYFUNCTION("""COMPUTED_VALUE"""),"Tapa Trasera Samsung A70")</f>
        <v>Tapa Trasera Samsung A70</v>
      </c>
      <c r="C1240" s="75">
        <f ca="1">IFERROR(__xludf.DUMMYFUNCTION("""COMPUTED_VALUE"""),70)</f>
        <v>70</v>
      </c>
      <c r="D1240" s="75">
        <f ca="1">IFERROR(__xludf.DUMMYFUNCTION("""COMPUTED_VALUE"""),20)</f>
        <v>20</v>
      </c>
      <c r="E1240" s="76">
        <f ca="1">IFERROR(__xludf.DUMMYFUNCTION("""COMPUTED_VALUE"""),90)</f>
        <v>90</v>
      </c>
      <c r="F1240" s="77">
        <f ca="1">IFERROR(__xludf.DUMMYFUNCTION("""COMPUTED_VALUE"""),10040027)</f>
        <v>10040027</v>
      </c>
      <c r="G1240" s="77" t="str">
        <f t="shared" ca="1" si="4"/>
        <v>si</v>
      </c>
    </row>
    <row r="1241" spans="1:7" ht="12.75" x14ac:dyDescent="0.2">
      <c r="A1241" s="62">
        <f ca="1">IFERROR(__xludf.DUMMYFUNCTION("""COMPUTED_VALUE"""),10040029)</f>
        <v>10040029</v>
      </c>
      <c r="B1241" s="62" t="str">
        <f ca="1">IFERROR(__xludf.DUMMYFUNCTION("""COMPUTED_VALUE"""),"Tapa Trasera Samsung A71")</f>
        <v>Tapa Trasera Samsung A71</v>
      </c>
      <c r="C1241" s="75">
        <f ca="1">IFERROR(__xludf.DUMMYFUNCTION("""COMPUTED_VALUE"""),70)</f>
        <v>70</v>
      </c>
      <c r="D1241" s="75">
        <f ca="1">IFERROR(__xludf.DUMMYFUNCTION("""COMPUTED_VALUE"""),20)</f>
        <v>20</v>
      </c>
      <c r="E1241" s="76">
        <f ca="1">IFERROR(__xludf.DUMMYFUNCTION("""COMPUTED_VALUE"""),90)</f>
        <v>90</v>
      </c>
      <c r="F1241" s="77">
        <f ca="1">IFERROR(__xludf.DUMMYFUNCTION("""COMPUTED_VALUE"""),10040029)</f>
        <v>10040029</v>
      </c>
      <c r="G1241" s="77" t="str">
        <f t="shared" ca="1" si="4"/>
        <v>si</v>
      </c>
    </row>
    <row r="1242" spans="1:7" ht="12.75" x14ac:dyDescent="0.2">
      <c r="A1242" s="62">
        <f ca="1">IFERROR(__xludf.DUMMYFUNCTION("""COMPUTED_VALUE"""),10040013)</f>
        <v>10040013</v>
      </c>
      <c r="B1242" s="62" t="str">
        <f ca="1">IFERROR(__xludf.DUMMYFUNCTION("""COMPUTED_VALUE"""),"Tapa Trasera Samsung A80")</f>
        <v>Tapa Trasera Samsung A80</v>
      </c>
      <c r="C1242" s="75">
        <f ca="1">IFERROR(__xludf.DUMMYFUNCTION("""COMPUTED_VALUE"""),70)</f>
        <v>70</v>
      </c>
      <c r="D1242" s="75">
        <f ca="1">IFERROR(__xludf.DUMMYFUNCTION("""COMPUTED_VALUE"""),20)</f>
        <v>20</v>
      </c>
      <c r="E1242" s="76">
        <f ca="1">IFERROR(__xludf.DUMMYFUNCTION("""COMPUTED_VALUE"""),90)</f>
        <v>90</v>
      </c>
      <c r="F1242" s="77">
        <f ca="1">IFERROR(__xludf.DUMMYFUNCTION("""COMPUTED_VALUE"""),10040013)</f>
        <v>10040013</v>
      </c>
      <c r="G1242" s="77" t="str">
        <f t="shared" ca="1" si="4"/>
        <v>si</v>
      </c>
    </row>
    <row r="1243" spans="1:7" ht="12.75" x14ac:dyDescent="0.2">
      <c r="A1243" s="62">
        <f ca="1">IFERROR(__xludf.DUMMYFUNCTION("""COMPUTED_VALUE"""),10040021)</f>
        <v>10040021</v>
      </c>
      <c r="B1243" s="62" t="str">
        <f ca="1">IFERROR(__xludf.DUMMYFUNCTION("""COMPUTED_VALUE"""),"Tapa Trasera Samsung Note 10 plus")</f>
        <v>Tapa Trasera Samsung Note 10 plus</v>
      </c>
      <c r="C1243" s="75">
        <f ca="1">IFERROR(__xludf.DUMMYFUNCTION("""COMPUTED_VALUE"""),70)</f>
        <v>70</v>
      </c>
      <c r="D1243" s="75">
        <f ca="1">IFERROR(__xludf.DUMMYFUNCTION("""COMPUTED_VALUE"""),100)</f>
        <v>100</v>
      </c>
      <c r="E1243" s="76">
        <f ca="1">IFERROR(__xludf.DUMMYFUNCTION("""COMPUTED_VALUE"""),170)</f>
        <v>170</v>
      </c>
      <c r="F1243" s="77">
        <f ca="1">IFERROR(__xludf.DUMMYFUNCTION("""COMPUTED_VALUE"""),10040021)</f>
        <v>10040021</v>
      </c>
      <c r="G1243" s="77" t="str">
        <f t="shared" ca="1" si="4"/>
        <v>si</v>
      </c>
    </row>
    <row r="1244" spans="1:7" ht="12.75" x14ac:dyDescent="0.2">
      <c r="A1244" s="62">
        <f ca="1">IFERROR(__xludf.DUMMYFUNCTION("""COMPUTED_VALUE"""),10040019)</f>
        <v>10040019</v>
      </c>
      <c r="B1244" s="62" t="str">
        <f ca="1">IFERROR(__xludf.DUMMYFUNCTION("""COMPUTED_VALUE"""),"Tapa Trasera Samsung Note 8")</f>
        <v>Tapa Trasera Samsung Note 8</v>
      </c>
      <c r="C1244" s="75">
        <f ca="1">IFERROR(__xludf.DUMMYFUNCTION("""COMPUTED_VALUE"""),70)</f>
        <v>70</v>
      </c>
      <c r="D1244" s="75">
        <f ca="1">IFERROR(__xludf.DUMMYFUNCTION("""COMPUTED_VALUE"""),50)</f>
        <v>50</v>
      </c>
      <c r="E1244" s="76">
        <f ca="1">IFERROR(__xludf.DUMMYFUNCTION("""COMPUTED_VALUE"""),120)</f>
        <v>120</v>
      </c>
      <c r="F1244" s="77">
        <f ca="1">IFERROR(__xludf.DUMMYFUNCTION("""COMPUTED_VALUE"""),10040019)</f>
        <v>10040019</v>
      </c>
      <c r="G1244" s="77" t="str">
        <f t="shared" ca="1" si="4"/>
        <v>si</v>
      </c>
    </row>
    <row r="1245" spans="1:7" ht="12.75" x14ac:dyDescent="0.2">
      <c r="A1245" s="62">
        <f ca="1">IFERROR(__xludf.DUMMYFUNCTION("""COMPUTED_VALUE"""),10040020)</f>
        <v>10040020</v>
      </c>
      <c r="B1245" s="62" t="str">
        <f ca="1">IFERROR(__xludf.DUMMYFUNCTION("""COMPUTED_VALUE"""),"Tapa Trasera Samsung Note 9")</f>
        <v>Tapa Trasera Samsung Note 9</v>
      </c>
      <c r="C1245" s="75">
        <f ca="1">IFERROR(__xludf.DUMMYFUNCTION("""COMPUTED_VALUE"""),70)</f>
        <v>70</v>
      </c>
      <c r="D1245" s="75">
        <f ca="1">IFERROR(__xludf.DUMMYFUNCTION("""COMPUTED_VALUE"""),50)</f>
        <v>50</v>
      </c>
      <c r="E1245" s="76">
        <f ca="1">IFERROR(__xludf.DUMMYFUNCTION("""COMPUTED_VALUE"""),120)</f>
        <v>120</v>
      </c>
      <c r="F1245" s="77">
        <f ca="1">IFERROR(__xludf.DUMMYFUNCTION("""COMPUTED_VALUE"""),10040020)</f>
        <v>10040020</v>
      </c>
      <c r="G1245" s="77" t="str">
        <f t="shared" ca="1" si="4"/>
        <v>si</v>
      </c>
    </row>
    <row r="1246" spans="1:7" ht="12.75" x14ac:dyDescent="0.2">
      <c r="A1246" s="62">
        <f ca="1">IFERROR(__xludf.DUMMYFUNCTION("""COMPUTED_VALUE"""),10040018)</f>
        <v>10040018</v>
      </c>
      <c r="B1246" s="62" t="str">
        <f ca="1">IFERROR(__xludf.DUMMYFUNCTION("""COMPUTED_VALUE"""),"Tapa Trasera Samsung S10")</f>
        <v>Tapa Trasera Samsung S10</v>
      </c>
      <c r="C1246" s="75">
        <f ca="1">IFERROR(__xludf.DUMMYFUNCTION("""COMPUTED_VALUE"""),70)</f>
        <v>70</v>
      </c>
      <c r="D1246" s="75">
        <f ca="1">IFERROR(__xludf.DUMMYFUNCTION("""COMPUTED_VALUE"""),50)</f>
        <v>50</v>
      </c>
      <c r="E1246" s="76">
        <f ca="1">IFERROR(__xludf.DUMMYFUNCTION("""COMPUTED_VALUE"""),120)</f>
        <v>120</v>
      </c>
      <c r="F1246" s="77">
        <f ca="1">IFERROR(__xludf.DUMMYFUNCTION("""COMPUTED_VALUE"""),10040018)</f>
        <v>10040018</v>
      </c>
      <c r="G1246" s="77" t="str">
        <f t="shared" ca="1" si="4"/>
        <v>si</v>
      </c>
    </row>
    <row r="1247" spans="1:7" ht="12.75" x14ac:dyDescent="0.2">
      <c r="A1247" s="62">
        <f ca="1">IFERROR(__xludf.DUMMYFUNCTION("""COMPUTED_VALUE"""),10040017)</f>
        <v>10040017</v>
      </c>
      <c r="B1247" s="62" t="str">
        <f ca="1">IFERROR(__xludf.DUMMYFUNCTION("""COMPUTED_VALUE"""),"Tapa Trasera Samsung S10 Plus")</f>
        <v>Tapa Trasera Samsung S10 Plus</v>
      </c>
      <c r="C1247" s="75">
        <f ca="1">IFERROR(__xludf.DUMMYFUNCTION("""COMPUTED_VALUE"""),70)</f>
        <v>70</v>
      </c>
      <c r="D1247" s="75">
        <f ca="1">IFERROR(__xludf.DUMMYFUNCTION("""COMPUTED_VALUE"""),50)</f>
        <v>50</v>
      </c>
      <c r="E1247" s="76">
        <f ca="1">IFERROR(__xludf.DUMMYFUNCTION("""COMPUTED_VALUE"""),120)</f>
        <v>120</v>
      </c>
      <c r="F1247" s="77">
        <f ca="1">IFERROR(__xludf.DUMMYFUNCTION("""COMPUTED_VALUE"""),10040017)</f>
        <v>10040017</v>
      </c>
      <c r="G1247" s="77" t="str">
        <f t="shared" ca="1" si="4"/>
        <v>si</v>
      </c>
    </row>
    <row r="1248" spans="1:7" ht="12.75" x14ac:dyDescent="0.2">
      <c r="A1248" s="62">
        <f ca="1">IFERROR(__xludf.DUMMYFUNCTION("""COMPUTED_VALUE"""),10040012)</f>
        <v>10040012</v>
      </c>
      <c r="B1248" s="62" t="str">
        <f ca="1">IFERROR(__xludf.DUMMYFUNCTION("""COMPUTED_VALUE"""),"Tapa Trasera Samsung S20")</f>
        <v>Tapa Trasera Samsung S20</v>
      </c>
      <c r="C1248" s="75">
        <f ca="1">IFERROR(__xludf.DUMMYFUNCTION("""COMPUTED_VALUE"""),70)</f>
        <v>70</v>
      </c>
      <c r="D1248" s="75">
        <f ca="1">IFERROR(__xludf.DUMMYFUNCTION("""COMPUTED_VALUE"""),100)</f>
        <v>100</v>
      </c>
      <c r="E1248" s="76">
        <f ca="1">IFERROR(__xludf.DUMMYFUNCTION("""COMPUTED_VALUE"""),170)</f>
        <v>170</v>
      </c>
      <c r="F1248" s="77">
        <f ca="1">IFERROR(__xludf.DUMMYFUNCTION("""COMPUTED_VALUE"""),10040012)</f>
        <v>10040012</v>
      </c>
      <c r="G1248" s="77" t="str">
        <f t="shared" ca="1" si="4"/>
        <v>si</v>
      </c>
    </row>
    <row r="1249" spans="1:7" ht="12.75" x14ac:dyDescent="0.2">
      <c r="A1249" s="62">
        <f ca="1">IFERROR(__xludf.DUMMYFUNCTION("""COMPUTED_VALUE"""),10160167)</f>
        <v>10160167</v>
      </c>
      <c r="B1249" s="62" t="str">
        <f ca="1">IFERROR(__xludf.DUMMYFUNCTION("""COMPUTED_VALUE"""),"Tapa Trasera Samsung S21 Ultra")</f>
        <v>Tapa Trasera Samsung S21 Ultra</v>
      </c>
      <c r="C1249" s="75">
        <f ca="1">IFERROR(__xludf.DUMMYFUNCTION("""COMPUTED_VALUE"""),100)</f>
        <v>100</v>
      </c>
      <c r="D1249" s="75">
        <f ca="1">IFERROR(__xludf.DUMMYFUNCTION("""COMPUTED_VALUE"""),100)</f>
        <v>100</v>
      </c>
      <c r="E1249" s="76">
        <f ca="1">IFERROR(__xludf.DUMMYFUNCTION("""COMPUTED_VALUE"""),200)</f>
        <v>200</v>
      </c>
      <c r="F1249" s="77">
        <f ca="1">IFERROR(__xludf.DUMMYFUNCTION("""COMPUTED_VALUE"""),10160167)</f>
        <v>10160167</v>
      </c>
      <c r="G1249" s="77" t="str">
        <f t="shared" ca="1" si="4"/>
        <v>si</v>
      </c>
    </row>
    <row r="1250" spans="1:7" ht="12.75" x14ac:dyDescent="0.2">
      <c r="A1250" s="62">
        <f ca="1">IFERROR(__xludf.DUMMYFUNCTION("""COMPUTED_VALUE"""),10160082)</f>
        <v>10160082</v>
      </c>
      <c r="B1250" s="62" t="str">
        <f ca="1">IFERROR(__xludf.DUMMYFUNCTION("""COMPUTED_VALUE"""),"Tapa Trasera Samsung S21")</f>
        <v>Tapa Trasera Samsung S21</v>
      </c>
      <c r="C1250" s="75">
        <f ca="1">IFERROR(__xludf.DUMMYFUNCTION("""COMPUTED_VALUE"""),100)</f>
        <v>100</v>
      </c>
      <c r="D1250" s="75">
        <f ca="1">IFERROR(__xludf.DUMMYFUNCTION("""COMPUTED_VALUE"""),100)</f>
        <v>100</v>
      </c>
      <c r="E1250" s="76">
        <f ca="1">IFERROR(__xludf.DUMMYFUNCTION("""COMPUTED_VALUE"""),200)</f>
        <v>200</v>
      </c>
      <c r="F1250" s="77">
        <f ca="1">IFERROR(__xludf.DUMMYFUNCTION("""COMPUTED_VALUE"""),10160082)</f>
        <v>10160082</v>
      </c>
      <c r="G1250" s="77" t="str">
        <f t="shared" ca="1" si="4"/>
        <v>si</v>
      </c>
    </row>
    <row r="1251" spans="1:7" ht="12.75" x14ac:dyDescent="0.2">
      <c r="A1251" s="62">
        <f ca="1">IFERROR(__xludf.DUMMYFUNCTION("""COMPUTED_VALUE"""),10160083)</f>
        <v>10160083</v>
      </c>
      <c r="B1251" s="62" t="str">
        <f ca="1">IFERROR(__xludf.DUMMYFUNCTION("""COMPUTED_VALUE"""),"Tapa Trasera Samsung S21 Plus")</f>
        <v>Tapa Trasera Samsung S21 Plus</v>
      </c>
      <c r="C1251" s="75">
        <f ca="1">IFERROR(__xludf.DUMMYFUNCTION("""COMPUTED_VALUE"""),100)</f>
        <v>100</v>
      </c>
      <c r="D1251" s="75">
        <f ca="1">IFERROR(__xludf.DUMMYFUNCTION("""COMPUTED_VALUE"""),100)</f>
        <v>100</v>
      </c>
      <c r="E1251" s="76">
        <f ca="1">IFERROR(__xludf.DUMMYFUNCTION("""COMPUTED_VALUE"""),200)</f>
        <v>200</v>
      </c>
      <c r="F1251" s="77">
        <f ca="1">IFERROR(__xludf.DUMMYFUNCTION("""COMPUTED_VALUE"""),10160083)</f>
        <v>10160083</v>
      </c>
      <c r="G1251" s="77" t="str">
        <f t="shared" ca="1" si="4"/>
        <v>si</v>
      </c>
    </row>
    <row r="1252" spans="1:7" ht="12.75" x14ac:dyDescent="0.2">
      <c r="A1252" s="62">
        <f ca="1">IFERROR(__xludf.DUMMYFUNCTION("""COMPUTED_VALUE"""),10040022)</f>
        <v>10040022</v>
      </c>
      <c r="B1252" s="62" t="str">
        <f ca="1">IFERROR(__xludf.DUMMYFUNCTION("""COMPUTED_VALUE"""),"Tapa Trasera Samsung S7")</f>
        <v>Tapa Trasera Samsung S7</v>
      </c>
      <c r="C1252" s="75">
        <f ca="1">IFERROR(__xludf.DUMMYFUNCTION("""COMPUTED_VALUE"""),70)</f>
        <v>70</v>
      </c>
      <c r="D1252" s="75">
        <f ca="1">IFERROR(__xludf.DUMMYFUNCTION("""COMPUTED_VALUE"""),50)</f>
        <v>50</v>
      </c>
      <c r="E1252" s="76">
        <f ca="1">IFERROR(__xludf.DUMMYFUNCTION("""COMPUTED_VALUE"""),120)</f>
        <v>120</v>
      </c>
      <c r="F1252" s="77">
        <f ca="1">IFERROR(__xludf.DUMMYFUNCTION("""COMPUTED_VALUE"""),10040022)</f>
        <v>10040022</v>
      </c>
      <c r="G1252" s="77" t="str">
        <f t="shared" ca="1" si="4"/>
        <v>si</v>
      </c>
    </row>
    <row r="1253" spans="1:7" ht="12.75" x14ac:dyDescent="0.2">
      <c r="A1253" s="62">
        <f ca="1">IFERROR(__xludf.DUMMYFUNCTION("""COMPUTED_VALUE"""),10160318)</f>
        <v>10160318</v>
      </c>
      <c r="B1253" s="62" t="str">
        <f ca="1">IFERROR(__xludf.DUMMYFUNCTION("""COMPUTED_VALUE"""),"Tapa Trasera Samsung S8  ")</f>
        <v xml:space="preserve">Tapa Trasera Samsung S8  </v>
      </c>
      <c r="C1253" s="75">
        <f ca="1">IFERROR(__xludf.DUMMYFUNCTION("""COMPUTED_VALUE"""),70)</f>
        <v>70</v>
      </c>
      <c r="D1253" s="75">
        <f ca="1">IFERROR(__xludf.DUMMYFUNCTION("""COMPUTED_VALUE"""),50)</f>
        <v>50</v>
      </c>
      <c r="E1253" s="76">
        <f ca="1">IFERROR(__xludf.DUMMYFUNCTION("""COMPUTED_VALUE"""),120)</f>
        <v>120</v>
      </c>
      <c r="F1253" s="77">
        <f ca="1">IFERROR(__xludf.DUMMYFUNCTION("""COMPUTED_VALUE"""),10160318)</f>
        <v>10160318</v>
      </c>
      <c r="G1253" s="77" t="str">
        <f t="shared" ca="1" si="4"/>
        <v>si</v>
      </c>
    </row>
    <row r="1254" spans="1:7" ht="12.75" x14ac:dyDescent="0.2">
      <c r="A1254" s="62">
        <f ca="1">IFERROR(__xludf.DUMMYFUNCTION("""COMPUTED_VALUE"""),10040014)</f>
        <v>10040014</v>
      </c>
      <c r="B1254" s="62" t="str">
        <f ca="1">IFERROR(__xludf.DUMMYFUNCTION("""COMPUTED_VALUE"""),"Tapa Trasera Samsung S8 Plus")</f>
        <v>Tapa Trasera Samsung S8 Plus</v>
      </c>
      <c r="C1254" s="75">
        <f ca="1">IFERROR(__xludf.DUMMYFUNCTION("""COMPUTED_VALUE"""),70)</f>
        <v>70</v>
      </c>
      <c r="D1254" s="75">
        <f ca="1">IFERROR(__xludf.DUMMYFUNCTION("""COMPUTED_VALUE"""),50)</f>
        <v>50</v>
      </c>
      <c r="E1254" s="76">
        <f ca="1">IFERROR(__xludf.DUMMYFUNCTION("""COMPUTED_VALUE"""),120)</f>
        <v>120</v>
      </c>
      <c r="F1254" s="77">
        <f ca="1">IFERROR(__xludf.DUMMYFUNCTION("""COMPUTED_VALUE"""),10040014)</f>
        <v>10040014</v>
      </c>
      <c r="G1254" s="77" t="str">
        <f t="shared" ca="1" si="4"/>
        <v>si</v>
      </c>
    </row>
    <row r="1255" spans="1:7" ht="12.75" x14ac:dyDescent="0.2">
      <c r="A1255" s="62">
        <f ca="1">IFERROR(__xludf.DUMMYFUNCTION("""COMPUTED_VALUE"""),10040015)</f>
        <v>10040015</v>
      </c>
      <c r="B1255" s="62" t="str">
        <f ca="1">IFERROR(__xludf.DUMMYFUNCTION("""COMPUTED_VALUE"""),"Tapa Trasera Samsung S9")</f>
        <v>Tapa Trasera Samsung S9</v>
      </c>
      <c r="C1255" s="75">
        <f ca="1">IFERROR(__xludf.DUMMYFUNCTION("""COMPUTED_VALUE"""),70)</f>
        <v>70</v>
      </c>
      <c r="D1255" s="75">
        <f ca="1">IFERROR(__xludf.DUMMYFUNCTION("""COMPUTED_VALUE"""),50)</f>
        <v>50</v>
      </c>
      <c r="E1255" s="76">
        <f ca="1">IFERROR(__xludf.DUMMYFUNCTION("""COMPUTED_VALUE"""),120)</f>
        <v>120</v>
      </c>
      <c r="F1255" s="77">
        <f ca="1">IFERROR(__xludf.DUMMYFUNCTION("""COMPUTED_VALUE"""),10040015)</f>
        <v>10040015</v>
      </c>
      <c r="G1255" s="77" t="str">
        <f t="shared" ca="1" si="4"/>
        <v>si</v>
      </c>
    </row>
    <row r="1256" spans="1:7" ht="12.75" x14ac:dyDescent="0.2">
      <c r="A1256" s="62">
        <f ca="1">IFERROR(__xludf.DUMMYFUNCTION("""COMPUTED_VALUE"""),10040016)</f>
        <v>10040016</v>
      </c>
      <c r="B1256" s="62" t="str">
        <f ca="1">IFERROR(__xludf.DUMMYFUNCTION("""COMPUTED_VALUE"""),"Tapa Trasera Samsung S9 Plus")</f>
        <v>Tapa Trasera Samsung S9 Plus</v>
      </c>
      <c r="C1256" s="75">
        <f ca="1">IFERROR(__xludf.DUMMYFUNCTION("""COMPUTED_VALUE"""),70)</f>
        <v>70</v>
      </c>
      <c r="D1256" s="75">
        <f ca="1">IFERROR(__xludf.DUMMYFUNCTION("""COMPUTED_VALUE"""),50)</f>
        <v>50</v>
      </c>
      <c r="E1256" s="76">
        <f ca="1">IFERROR(__xludf.DUMMYFUNCTION("""COMPUTED_VALUE"""),120)</f>
        <v>120</v>
      </c>
      <c r="F1256" s="77">
        <f ca="1">IFERROR(__xludf.DUMMYFUNCTION("""COMPUTED_VALUE"""),10040016)</f>
        <v>10040016</v>
      </c>
      <c r="G1256" s="77" t="str">
        <f t="shared" ca="1" si="4"/>
        <v>si</v>
      </c>
    </row>
    <row r="1257" spans="1:7" ht="12.75" x14ac:dyDescent="0.2">
      <c r="A1257" s="62">
        <f ca="1">IFERROR(__xludf.DUMMYFUNCTION("""COMPUTED_VALUE"""),10040042)</f>
        <v>10040042</v>
      </c>
      <c r="B1257" s="62" t="str">
        <f ca="1">IFERROR(__xludf.DUMMYFUNCTION("""COMPUTED_VALUE"""),"Tapa Trasera Xiaomi Redmi Note 9")</f>
        <v>Tapa Trasera Xiaomi Redmi Note 9</v>
      </c>
      <c r="C1257" s="75">
        <f ca="1">IFERROR(__xludf.DUMMYFUNCTION("""COMPUTED_VALUE"""),70)</f>
        <v>70</v>
      </c>
      <c r="D1257" s="75">
        <f ca="1">IFERROR(__xludf.DUMMYFUNCTION("""COMPUTED_VALUE"""),50)</f>
        <v>50</v>
      </c>
      <c r="E1257" s="76">
        <f ca="1">IFERROR(__xludf.DUMMYFUNCTION("""COMPUTED_VALUE"""),120)</f>
        <v>120</v>
      </c>
      <c r="F1257" s="77">
        <f ca="1">IFERROR(__xludf.DUMMYFUNCTION("""COMPUTED_VALUE"""),10040042)</f>
        <v>10040042</v>
      </c>
      <c r="G1257" s="77" t="str">
        <f t="shared" ca="1" si="4"/>
        <v>si</v>
      </c>
    </row>
    <row r="1258" spans="1:7" ht="12.75" x14ac:dyDescent="0.2">
      <c r="A1258" s="62">
        <f ca="1">IFERROR(__xludf.DUMMYFUNCTION("""COMPUTED_VALUE"""),10160168)</f>
        <v>10160168</v>
      </c>
      <c r="B1258" s="62" t="str">
        <f ca="1">IFERROR(__xludf.DUMMYFUNCTION("""COMPUTED_VALUE"""),"Tapa Trasera XIAOMI redmi Note 9 Pro")</f>
        <v>Tapa Trasera XIAOMI redmi Note 9 Pro</v>
      </c>
      <c r="C1258" s="75">
        <f ca="1">IFERROR(__xludf.DUMMYFUNCTION("""COMPUTED_VALUE"""),80)</f>
        <v>80</v>
      </c>
      <c r="D1258" s="75">
        <f ca="1">IFERROR(__xludf.DUMMYFUNCTION("""COMPUTED_VALUE"""),50)</f>
        <v>50</v>
      </c>
      <c r="E1258" s="76">
        <f ca="1">IFERROR(__xludf.DUMMYFUNCTION("""COMPUTED_VALUE"""),130)</f>
        <v>130</v>
      </c>
      <c r="F1258" s="77">
        <f ca="1">IFERROR(__xludf.DUMMYFUNCTION("""COMPUTED_VALUE"""),10160168)</f>
        <v>10160168</v>
      </c>
      <c r="G1258" s="77" t="str">
        <f t="shared" ca="1" si="4"/>
        <v>si</v>
      </c>
    </row>
    <row r="1259" spans="1:7" ht="12.75" x14ac:dyDescent="0.2">
      <c r="A1259" s="62">
        <f ca="1">IFERROR(__xludf.DUMMYFUNCTION("""COMPUTED_VALUE"""),10160329)</f>
        <v>10160329</v>
      </c>
      <c r="B1259" s="62" t="str">
        <f ca="1">IFERROR(__xludf.DUMMYFUNCTION("""COMPUTED_VALUE"""),"Tapa Trasera Samsung Note 10")</f>
        <v>Tapa Trasera Samsung Note 10</v>
      </c>
      <c r="C1259" s="75">
        <f ca="1">IFERROR(__xludf.DUMMYFUNCTION("""COMPUTED_VALUE"""),80)</f>
        <v>80</v>
      </c>
      <c r="D1259" s="75">
        <f ca="1">IFERROR(__xludf.DUMMYFUNCTION("""COMPUTED_VALUE"""),50)</f>
        <v>50</v>
      </c>
      <c r="E1259" s="76">
        <f ca="1">IFERROR(__xludf.DUMMYFUNCTION("""COMPUTED_VALUE"""),130)</f>
        <v>130</v>
      </c>
      <c r="F1259" s="77">
        <f ca="1">IFERROR(__xludf.DUMMYFUNCTION("""COMPUTED_VALUE"""),10160329)</f>
        <v>10160329</v>
      </c>
      <c r="G1259" s="77" t="str">
        <f t="shared" ca="1" si="4"/>
        <v>si</v>
      </c>
    </row>
    <row r="1260" spans="1:7" ht="12.75" x14ac:dyDescent="0.2">
      <c r="A1260" s="62">
        <f ca="1">IFERROR(__xludf.DUMMYFUNCTION("""COMPUTED_VALUE"""),10160170)</f>
        <v>10160170</v>
      </c>
      <c r="B1260" s="62" t="str">
        <f ca="1">IFERROR(__xludf.DUMMYFUNCTION("""COMPUTED_VALUE"""),"Tapa Trasera Note 10 Pro")</f>
        <v>Tapa Trasera Note 10 Pro</v>
      </c>
      <c r="C1260" s="75">
        <f ca="1">IFERROR(__xludf.DUMMYFUNCTION("""COMPUTED_VALUE"""),80)</f>
        <v>80</v>
      </c>
      <c r="D1260" s="75">
        <f ca="1">IFERROR(__xludf.DUMMYFUNCTION("""COMPUTED_VALUE"""),50)</f>
        <v>50</v>
      </c>
      <c r="E1260" s="76">
        <f ca="1">IFERROR(__xludf.DUMMYFUNCTION("""COMPUTED_VALUE"""),130)</f>
        <v>130</v>
      </c>
      <c r="F1260" s="77">
        <f ca="1">IFERROR(__xludf.DUMMYFUNCTION("""COMPUTED_VALUE"""),10160170)</f>
        <v>10160170</v>
      </c>
      <c r="G1260" s="77" t="str">
        <f t="shared" ca="1" si="4"/>
        <v>si</v>
      </c>
    </row>
    <row r="1261" spans="1:7" ht="12.75" x14ac:dyDescent="0.2">
      <c r="A1261" s="62">
        <f ca="1">IFERROR(__xludf.DUMMYFUNCTION("""COMPUTED_VALUE"""),10040054)</f>
        <v>10040054</v>
      </c>
      <c r="B1261" s="62" t="str">
        <f ca="1">IFERROR(__xludf.DUMMYFUNCTION("""COMPUTED_VALUE"""),"Tapa Trasera Samsung Note 20 Ultra")</f>
        <v>Tapa Trasera Samsung Note 20 Ultra</v>
      </c>
      <c r="C1261" s="75">
        <f ca="1">IFERROR(__xludf.DUMMYFUNCTION("""COMPUTED_VALUE"""),110)</f>
        <v>110</v>
      </c>
      <c r="D1261" s="75">
        <f ca="1">IFERROR(__xludf.DUMMYFUNCTION("""COMPUTED_VALUE"""),100)</f>
        <v>100</v>
      </c>
      <c r="E1261" s="76">
        <f ca="1">IFERROR(__xludf.DUMMYFUNCTION("""COMPUTED_VALUE"""),210)</f>
        <v>210</v>
      </c>
      <c r="F1261" s="77">
        <f ca="1">IFERROR(__xludf.DUMMYFUNCTION("""COMPUTED_VALUE"""),10040054)</f>
        <v>10040054</v>
      </c>
      <c r="G1261" s="77" t="str">
        <f t="shared" ca="1" si="4"/>
        <v>si</v>
      </c>
    </row>
    <row r="1262" spans="1:7" ht="12.75" x14ac:dyDescent="0.2">
      <c r="A1262" s="62">
        <f ca="1">IFERROR(__xludf.DUMMYFUNCTION("""COMPUTED_VALUE"""),10040055)</f>
        <v>10040055</v>
      </c>
      <c r="B1262" s="62" t="str">
        <f ca="1">IFERROR(__xludf.DUMMYFUNCTION("""COMPUTED_VALUE"""),"Tapa Trasera Samsung Note 20")</f>
        <v>Tapa Trasera Samsung Note 20</v>
      </c>
      <c r="C1262" s="75">
        <f ca="1">IFERROR(__xludf.DUMMYFUNCTION("""COMPUTED_VALUE"""),110)</f>
        <v>110</v>
      </c>
      <c r="D1262" s="75">
        <f ca="1">IFERROR(__xludf.DUMMYFUNCTION("""COMPUTED_VALUE"""),100)</f>
        <v>100</v>
      </c>
      <c r="E1262" s="76">
        <f ca="1">IFERROR(__xludf.DUMMYFUNCTION("""COMPUTED_VALUE"""),210)</f>
        <v>210</v>
      </c>
      <c r="F1262" s="77">
        <f ca="1">IFERROR(__xludf.DUMMYFUNCTION("""COMPUTED_VALUE"""),10040055)</f>
        <v>10040055</v>
      </c>
      <c r="G1262" s="77" t="str">
        <f t="shared" ca="1" si="4"/>
        <v>si</v>
      </c>
    </row>
    <row r="1263" spans="1:7" ht="12.75" x14ac:dyDescent="0.2">
      <c r="A1263" s="62">
        <f ca="1">IFERROR(__xludf.DUMMYFUNCTION("""COMPUTED_VALUE"""),10040056)</f>
        <v>10040056</v>
      </c>
      <c r="B1263" s="62" t="str">
        <f ca="1">IFERROR(__xludf.DUMMYFUNCTION("""COMPUTED_VALUE"""),"Tapa Trasera Samsung S20 Ultra")</f>
        <v>Tapa Trasera Samsung S20 Ultra</v>
      </c>
      <c r="C1263" s="75">
        <f ca="1">IFERROR(__xludf.DUMMYFUNCTION("""COMPUTED_VALUE"""),110)</f>
        <v>110</v>
      </c>
      <c r="D1263" s="75">
        <f ca="1">IFERROR(__xludf.DUMMYFUNCTION("""COMPUTED_VALUE"""),100)</f>
        <v>100</v>
      </c>
      <c r="E1263" s="76">
        <f ca="1">IFERROR(__xludf.DUMMYFUNCTION("""COMPUTED_VALUE"""),210)</f>
        <v>210</v>
      </c>
      <c r="F1263" s="77">
        <f ca="1">IFERROR(__xludf.DUMMYFUNCTION("""COMPUTED_VALUE"""),10040056)</f>
        <v>10040056</v>
      </c>
      <c r="G1263" s="77" t="str">
        <f t="shared" ca="1" si="4"/>
        <v>si</v>
      </c>
    </row>
    <row r="1264" spans="1:7" ht="12.75" x14ac:dyDescent="0.2">
      <c r="A1264" s="62">
        <f ca="1">IFERROR(__xludf.DUMMYFUNCTION("""COMPUTED_VALUE"""),10040057)</f>
        <v>10040057</v>
      </c>
      <c r="B1264" s="62" t="str">
        <f ca="1">IFERROR(__xludf.DUMMYFUNCTION("""COMPUTED_VALUE"""),"Tapa Trasera Samsung S20 Plus")</f>
        <v>Tapa Trasera Samsung S20 Plus</v>
      </c>
      <c r="C1264" s="75">
        <f ca="1">IFERROR(__xludf.DUMMYFUNCTION("""COMPUTED_VALUE"""),110)</f>
        <v>110</v>
      </c>
      <c r="D1264" s="75">
        <f ca="1">IFERROR(__xludf.DUMMYFUNCTION("""COMPUTED_VALUE"""),100)</f>
        <v>100</v>
      </c>
      <c r="E1264" s="76">
        <f ca="1">IFERROR(__xludf.DUMMYFUNCTION("""COMPUTED_VALUE"""),210)</f>
        <v>210</v>
      </c>
      <c r="F1264" s="77">
        <f ca="1">IFERROR(__xludf.DUMMYFUNCTION("""COMPUTED_VALUE"""),10040057)</f>
        <v>10040057</v>
      </c>
      <c r="G1264" s="77" t="str">
        <f t="shared" ca="1" si="4"/>
        <v>si</v>
      </c>
    </row>
    <row r="1265" spans="1:7" ht="12.75" x14ac:dyDescent="0.2">
      <c r="A1265" s="62">
        <f ca="1">IFERROR(__xludf.DUMMYFUNCTION("""COMPUTED_VALUE"""),10140057)</f>
        <v>10140057</v>
      </c>
      <c r="B1265" s="62" t="str">
        <f ca="1">IFERROR(__xludf.DUMMYFUNCTION("""COMPUTED_VALUE"""),"Camara Frontal Iphone 12 Mini")</f>
        <v>Camara Frontal Iphone 12 Mini</v>
      </c>
      <c r="C1265" s="75">
        <f ca="1">IFERROR(__xludf.DUMMYFUNCTION("""COMPUTED_VALUE"""),270)</f>
        <v>270</v>
      </c>
      <c r="D1265" s="75">
        <f ca="1">IFERROR(__xludf.DUMMYFUNCTION("""COMPUTED_VALUE"""),50)</f>
        <v>50</v>
      </c>
      <c r="E1265" s="76">
        <f ca="1">IFERROR(__xludf.DUMMYFUNCTION("""COMPUTED_VALUE"""),320)</f>
        <v>320</v>
      </c>
      <c r="F1265" s="77">
        <f ca="1">IFERROR(__xludf.DUMMYFUNCTION("""COMPUTED_VALUE"""),10140057)</f>
        <v>10140057</v>
      </c>
      <c r="G1265" s="77" t="str">
        <f t="shared" ca="1" si="4"/>
        <v>si</v>
      </c>
    </row>
    <row r="1266" spans="1:7" ht="12.75" x14ac:dyDescent="0.2">
      <c r="A1266" s="62">
        <f ca="1">IFERROR(__xludf.DUMMYFUNCTION("""COMPUTED_VALUE"""),10160106)</f>
        <v>10160106</v>
      </c>
      <c r="B1266" s="62" t="str">
        <f ca="1">IFERROR(__xludf.DUMMYFUNCTION("""COMPUTED_VALUE"""),"Camara Frontal Iphone 6G")</f>
        <v>Camara Frontal Iphone 6G</v>
      </c>
      <c r="C1266" s="75">
        <f ca="1">IFERROR(__xludf.DUMMYFUNCTION("""COMPUTED_VALUE"""),30)</f>
        <v>30</v>
      </c>
      <c r="D1266" s="75">
        <f ca="1">IFERROR(__xludf.DUMMYFUNCTION("""COMPUTED_VALUE"""),50)</f>
        <v>50</v>
      </c>
      <c r="E1266" s="76">
        <f ca="1">IFERROR(__xludf.DUMMYFUNCTION("""COMPUTED_VALUE"""),80)</f>
        <v>80</v>
      </c>
      <c r="F1266" s="77">
        <f ca="1">IFERROR(__xludf.DUMMYFUNCTION("""COMPUTED_VALUE"""),10160106)</f>
        <v>10160106</v>
      </c>
      <c r="G1266" s="77" t="str">
        <f t="shared" ca="1" si="4"/>
        <v>si</v>
      </c>
    </row>
    <row r="1267" spans="1:7" ht="12.75" x14ac:dyDescent="0.2">
      <c r="A1267" s="62">
        <f ca="1">IFERROR(__xludf.DUMMYFUNCTION("""COMPUTED_VALUE"""),10160107)</f>
        <v>10160107</v>
      </c>
      <c r="B1267" s="62" t="str">
        <f ca="1">IFERROR(__xludf.DUMMYFUNCTION("""COMPUTED_VALUE"""),"Camara Frontal Iphone 6P")</f>
        <v>Camara Frontal Iphone 6P</v>
      </c>
      <c r="C1267" s="75">
        <f ca="1">IFERROR(__xludf.DUMMYFUNCTION("""COMPUTED_VALUE"""),30)</f>
        <v>30</v>
      </c>
      <c r="D1267" s="75">
        <f ca="1">IFERROR(__xludf.DUMMYFUNCTION("""COMPUTED_VALUE"""),50)</f>
        <v>50</v>
      </c>
      <c r="E1267" s="76">
        <f ca="1">IFERROR(__xludf.DUMMYFUNCTION("""COMPUTED_VALUE"""),80)</f>
        <v>80</v>
      </c>
      <c r="F1267" s="77">
        <f ca="1">IFERROR(__xludf.DUMMYFUNCTION("""COMPUTED_VALUE"""),10160107)</f>
        <v>10160107</v>
      </c>
      <c r="G1267" s="77" t="str">
        <f t="shared" ca="1" si="4"/>
        <v>si</v>
      </c>
    </row>
    <row r="1268" spans="1:7" ht="12.75" x14ac:dyDescent="0.2">
      <c r="A1268" s="62">
        <f ca="1">IFERROR(__xludf.DUMMYFUNCTION("""COMPUTED_VALUE"""),10160108)</f>
        <v>10160108</v>
      </c>
      <c r="B1268" s="62" t="str">
        <f ca="1">IFERROR(__xludf.DUMMYFUNCTION("""COMPUTED_VALUE"""),"Camara Frontal Iphone 6S")</f>
        <v>Camara Frontal Iphone 6S</v>
      </c>
      <c r="C1268" s="75">
        <f ca="1">IFERROR(__xludf.DUMMYFUNCTION("""COMPUTED_VALUE"""),30)</f>
        <v>30</v>
      </c>
      <c r="D1268" s="75">
        <f ca="1">IFERROR(__xludf.DUMMYFUNCTION("""COMPUTED_VALUE"""),50)</f>
        <v>50</v>
      </c>
      <c r="E1268" s="76">
        <f ca="1">IFERROR(__xludf.DUMMYFUNCTION("""COMPUTED_VALUE"""),80)</f>
        <v>80</v>
      </c>
      <c r="F1268" s="77">
        <f ca="1">IFERROR(__xludf.DUMMYFUNCTION("""COMPUTED_VALUE"""),10160108)</f>
        <v>10160108</v>
      </c>
      <c r="G1268" s="77" t="str">
        <f t="shared" ca="1" si="4"/>
        <v>si</v>
      </c>
    </row>
    <row r="1269" spans="1:7" ht="12.75" x14ac:dyDescent="0.2">
      <c r="A1269" s="62">
        <f ca="1">IFERROR(__xludf.DUMMYFUNCTION("""COMPUTED_VALUE"""),10160109)</f>
        <v>10160109</v>
      </c>
      <c r="B1269" s="62" t="str">
        <f ca="1">IFERROR(__xludf.DUMMYFUNCTION("""COMPUTED_VALUE"""),"Camara Frontal Iphone 6SP")</f>
        <v>Camara Frontal Iphone 6SP</v>
      </c>
      <c r="C1269" s="75">
        <f ca="1">IFERROR(__xludf.DUMMYFUNCTION("""COMPUTED_VALUE"""),30)</f>
        <v>30</v>
      </c>
      <c r="D1269" s="75">
        <f ca="1">IFERROR(__xludf.DUMMYFUNCTION("""COMPUTED_VALUE"""),50)</f>
        <v>50</v>
      </c>
      <c r="E1269" s="76">
        <f ca="1">IFERROR(__xludf.DUMMYFUNCTION("""COMPUTED_VALUE"""),80)</f>
        <v>80</v>
      </c>
      <c r="F1269" s="77">
        <f ca="1">IFERROR(__xludf.DUMMYFUNCTION("""COMPUTED_VALUE"""),10160109)</f>
        <v>10160109</v>
      </c>
      <c r="G1269" s="77" t="str">
        <f t="shared" ca="1" si="4"/>
        <v>si</v>
      </c>
    </row>
    <row r="1270" spans="1:7" ht="12.75" x14ac:dyDescent="0.2">
      <c r="A1270" s="62">
        <f ca="1">IFERROR(__xludf.DUMMYFUNCTION("""COMPUTED_VALUE"""),10160110)</f>
        <v>10160110</v>
      </c>
      <c r="B1270" s="62" t="str">
        <f ca="1">IFERROR(__xludf.DUMMYFUNCTION("""COMPUTED_VALUE"""),"Camara Frontal Iphone 7G")</f>
        <v>Camara Frontal Iphone 7G</v>
      </c>
      <c r="C1270" s="75">
        <f ca="1">IFERROR(__xludf.DUMMYFUNCTION("""COMPUTED_VALUE"""),70)</f>
        <v>70</v>
      </c>
      <c r="D1270" s="75">
        <f ca="1">IFERROR(__xludf.DUMMYFUNCTION("""COMPUTED_VALUE"""),50)</f>
        <v>50</v>
      </c>
      <c r="E1270" s="76">
        <f ca="1">IFERROR(__xludf.DUMMYFUNCTION("""COMPUTED_VALUE"""),120)</f>
        <v>120</v>
      </c>
      <c r="F1270" s="77">
        <f ca="1">IFERROR(__xludf.DUMMYFUNCTION("""COMPUTED_VALUE"""),10160110)</f>
        <v>10160110</v>
      </c>
      <c r="G1270" s="77" t="str">
        <f t="shared" ca="1" si="4"/>
        <v>si</v>
      </c>
    </row>
    <row r="1271" spans="1:7" ht="12.75" x14ac:dyDescent="0.2">
      <c r="A1271" s="62">
        <f ca="1">IFERROR(__xludf.DUMMYFUNCTION("""COMPUTED_VALUE"""),10160111)</f>
        <v>10160111</v>
      </c>
      <c r="B1271" s="62" t="str">
        <f ca="1">IFERROR(__xludf.DUMMYFUNCTION("""COMPUTED_VALUE"""),"Camara Frontal Iphone 7P")</f>
        <v>Camara Frontal Iphone 7P</v>
      </c>
      <c r="C1271" s="75">
        <f ca="1">IFERROR(__xludf.DUMMYFUNCTION("""COMPUTED_VALUE"""),70)</f>
        <v>70</v>
      </c>
      <c r="D1271" s="75">
        <f ca="1">IFERROR(__xludf.DUMMYFUNCTION("""COMPUTED_VALUE"""),50)</f>
        <v>50</v>
      </c>
      <c r="E1271" s="76">
        <f ca="1">IFERROR(__xludf.DUMMYFUNCTION("""COMPUTED_VALUE"""),120)</f>
        <v>120</v>
      </c>
      <c r="F1271" s="77">
        <f ca="1">IFERROR(__xludf.DUMMYFUNCTION("""COMPUTED_VALUE"""),10160111)</f>
        <v>10160111</v>
      </c>
      <c r="G1271" s="77" t="str">
        <f t="shared" ca="1" si="4"/>
        <v>si</v>
      </c>
    </row>
    <row r="1272" spans="1:7" ht="12.75" x14ac:dyDescent="0.2">
      <c r="A1272" s="62">
        <f ca="1">IFERROR(__xludf.DUMMYFUNCTION("""COMPUTED_VALUE"""),10160112)</f>
        <v>10160112</v>
      </c>
      <c r="B1272" s="62" t="str">
        <f ca="1">IFERROR(__xludf.DUMMYFUNCTION("""COMPUTED_VALUE"""),"Camara Frontal Iphone 8G")</f>
        <v>Camara Frontal Iphone 8G</v>
      </c>
      <c r="C1272" s="75">
        <f ca="1">IFERROR(__xludf.DUMMYFUNCTION("""COMPUTED_VALUE"""),80)</f>
        <v>80</v>
      </c>
      <c r="D1272" s="75">
        <f ca="1">IFERROR(__xludf.DUMMYFUNCTION("""COMPUTED_VALUE"""),50)</f>
        <v>50</v>
      </c>
      <c r="E1272" s="76">
        <f ca="1">IFERROR(__xludf.DUMMYFUNCTION("""COMPUTED_VALUE"""),130)</f>
        <v>130</v>
      </c>
      <c r="F1272" s="77">
        <f ca="1">IFERROR(__xludf.DUMMYFUNCTION("""COMPUTED_VALUE"""),10160112)</f>
        <v>10160112</v>
      </c>
      <c r="G1272" s="77" t="str">
        <f t="shared" ca="1" si="4"/>
        <v>si</v>
      </c>
    </row>
    <row r="1273" spans="1:7" ht="12.75" x14ac:dyDescent="0.2">
      <c r="A1273" s="62">
        <f ca="1">IFERROR(__xludf.DUMMYFUNCTION("""COMPUTED_VALUE"""),10160113)</f>
        <v>10160113</v>
      </c>
      <c r="B1273" s="62" t="str">
        <f ca="1">IFERROR(__xludf.DUMMYFUNCTION("""COMPUTED_VALUE"""),"Camara Frontal Iphone 8P")</f>
        <v>Camara Frontal Iphone 8P</v>
      </c>
      <c r="C1273" s="75">
        <f ca="1">IFERROR(__xludf.DUMMYFUNCTION("""COMPUTED_VALUE"""),90)</f>
        <v>90</v>
      </c>
      <c r="D1273" s="75">
        <f ca="1">IFERROR(__xludf.DUMMYFUNCTION("""COMPUTED_VALUE"""),50)</f>
        <v>50</v>
      </c>
      <c r="E1273" s="76">
        <f ca="1">IFERROR(__xludf.DUMMYFUNCTION("""COMPUTED_VALUE"""),140)</f>
        <v>140</v>
      </c>
      <c r="F1273" s="77">
        <f ca="1">IFERROR(__xludf.DUMMYFUNCTION("""COMPUTED_VALUE"""),10160113)</f>
        <v>10160113</v>
      </c>
      <c r="G1273" s="77" t="str">
        <f t="shared" ca="1" si="4"/>
        <v>si</v>
      </c>
    </row>
    <row r="1274" spans="1:7" ht="12.75" x14ac:dyDescent="0.2">
      <c r="A1274" s="62">
        <f ca="1">IFERROR(__xludf.DUMMYFUNCTION("""COMPUTED_VALUE"""),10140003)</f>
        <v>10140003</v>
      </c>
      <c r="B1274" s="62" t="str">
        <f ca="1">IFERROR(__xludf.DUMMYFUNCTION("""COMPUTED_VALUE"""),"Camara Frontal Iphone X")</f>
        <v>Camara Frontal Iphone X</v>
      </c>
      <c r="C1274" s="75">
        <f ca="1">IFERROR(__xludf.DUMMYFUNCTION("""COMPUTED_VALUE"""),110)</f>
        <v>110</v>
      </c>
      <c r="D1274" s="75">
        <f ca="1">IFERROR(__xludf.DUMMYFUNCTION("""COMPUTED_VALUE"""),50)</f>
        <v>50</v>
      </c>
      <c r="E1274" s="76">
        <f ca="1">IFERROR(__xludf.DUMMYFUNCTION("""COMPUTED_VALUE"""),160)</f>
        <v>160</v>
      </c>
      <c r="F1274" s="77">
        <f ca="1">IFERROR(__xludf.DUMMYFUNCTION("""COMPUTED_VALUE"""),10140003)</f>
        <v>10140003</v>
      </c>
      <c r="G1274" s="77" t="str">
        <f t="shared" ca="1" si="4"/>
        <v>si</v>
      </c>
    </row>
    <row r="1275" spans="1:7" ht="12.75" x14ac:dyDescent="0.2">
      <c r="A1275" s="62">
        <f ca="1">IFERROR(__xludf.DUMMYFUNCTION("""COMPUTED_VALUE"""),10140004)</f>
        <v>10140004</v>
      </c>
      <c r="B1275" s="62" t="str">
        <f ca="1">IFERROR(__xludf.DUMMYFUNCTION("""COMPUTED_VALUE"""),"Camara Frontal Iphone Xs")</f>
        <v>Camara Frontal Iphone Xs</v>
      </c>
      <c r="C1275" s="75">
        <f ca="1">IFERROR(__xludf.DUMMYFUNCTION("""COMPUTED_VALUE"""),110)</f>
        <v>110</v>
      </c>
      <c r="D1275" s="75">
        <f ca="1">IFERROR(__xludf.DUMMYFUNCTION("""COMPUTED_VALUE"""),50)</f>
        <v>50</v>
      </c>
      <c r="E1275" s="76">
        <f ca="1">IFERROR(__xludf.DUMMYFUNCTION("""COMPUTED_VALUE"""),160)</f>
        <v>160</v>
      </c>
      <c r="F1275" s="77">
        <f ca="1">IFERROR(__xludf.DUMMYFUNCTION("""COMPUTED_VALUE"""),10140004)</f>
        <v>10140004</v>
      </c>
      <c r="G1275" s="77" t="str">
        <f t="shared" ca="1" si="4"/>
        <v>si</v>
      </c>
    </row>
    <row r="1276" spans="1:7" ht="12.75" x14ac:dyDescent="0.2">
      <c r="A1276" s="62">
        <f ca="1">IFERROR(__xludf.DUMMYFUNCTION("""COMPUTED_VALUE"""),10140005)</f>
        <v>10140005</v>
      </c>
      <c r="B1276" s="62" t="str">
        <f ca="1">IFERROR(__xludf.DUMMYFUNCTION("""COMPUTED_VALUE"""),"Camara Frontal Iphone Xr")</f>
        <v>Camara Frontal Iphone Xr</v>
      </c>
      <c r="C1276" s="75">
        <f ca="1">IFERROR(__xludf.DUMMYFUNCTION("""COMPUTED_VALUE"""),110)</f>
        <v>110</v>
      </c>
      <c r="D1276" s="75">
        <f ca="1">IFERROR(__xludf.DUMMYFUNCTION("""COMPUTED_VALUE"""),50)</f>
        <v>50</v>
      </c>
      <c r="E1276" s="76">
        <f ca="1">IFERROR(__xludf.DUMMYFUNCTION("""COMPUTED_VALUE"""),160)</f>
        <v>160</v>
      </c>
      <c r="F1276" s="77">
        <f ca="1">IFERROR(__xludf.DUMMYFUNCTION("""COMPUTED_VALUE"""),10140005)</f>
        <v>10140005</v>
      </c>
      <c r="G1276" s="77" t="str">
        <f t="shared" ca="1" si="4"/>
        <v>si</v>
      </c>
    </row>
    <row r="1277" spans="1:7" ht="12.75" x14ac:dyDescent="0.2">
      <c r="A1277" s="62">
        <f ca="1">IFERROR(__xludf.DUMMYFUNCTION("""COMPUTED_VALUE"""),10140006)</f>
        <v>10140006</v>
      </c>
      <c r="B1277" s="62" t="str">
        <f ca="1">IFERROR(__xludf.DUMMYFUNCTION("""COMPUTED_VALUE"""),"Camara Frontal Iphone Xs max")</f>
        <v>Camara Frontal Iphone Xs max</v>
      </c>
      <c r="C1277" s="75">
        <f ca="1">IFERROR(__xludf.DUMMYFUNCTION("""COMPUTED_VALUE"""),110)</f>
        <v>110</v>
      </c>
      <c r="D1277" s="75">
        <f ca="1">IFERROR(__xludf.DUMMYFUNCTION("""COMPUTED_VALUE"""),50)</f>
        <v>50</v>
      </c>
      <c r="E1277" s="76">
        <f ca="1">IFERROR(__xludf.DUMMYFUNCTION("""COMPUTED_VALUE"""),160)</f>
        <v>160</v>
      </c>
      <c r="F1277" s="77">
        <f ca="1">IFERROR(__xludf.DUMMYFUNCTION("""COMPUTED_VALUE"""),10140006)</f>
        <v>10140006</v>
      </c>
      <c r="G1277" s="77" t="str">
        <f t="shared" ref="G1277:G1531" ca="1" si="5">IF(F1277=A1277,"si","no")</f>
        <v>si</v>
      </c>
    </row>
    <row r="1278" spans="1:7" ht="12.75" x14ac:dyDescent="0.2">
      <c r="A1278" s="62">
        <f ca="1">IFERROR(__xludf.DUMMYFUNCTION("""COMPUTED_VALUE"""),10140007)</f>
        <v>10140007</v>
      </c>
      <c r="B1278" s="62" t="str">
        <f ca="1">IFERROR(__xludf.DUMMYFUNCTION("""COMPUTED_VALUE"""),"Camara Frontal Iphone 11")</f>
        <v>Camara Frontal Iphone 11</v>
      </c>
      <c r="C1278" s="75">
        <f ca="1">IFERROR(__xludf.DUMMYFUNCTION("""COMPUTED_VALUE"""),140)</f>
        <v>140</v>
      </c>
      <c r="D1278" s="75">
        <f ca="1">IFERROR(__xludf.DUMMYFUNCTION("""COMPUTED_VALUE"""),50)</f>
        <v>50</v>
      </c>
      <c r="E1278" s="76">
        <f ca="1">IFERROR(__xludf.DUMMYFUNCTION("""COMPUTED_VALUE"""),190)</f>
        <v>190</v>
      </c>
      <c r="F1278" s="77">
        <f ca="1">IFERROR(__xludf.DUMMYFUNCTION("""COMPUTED_VALUE"""),10140007)</f>
        <v>10140007</v>
      </c>
      <c r="G1278" s="77" t="str">
        <f t="shared" ca="1" si="5"/>
        <v>si</v>
      </c>
    </row>
    <row r="1279" spans="1:7" ht="12.75" x14ac:dyDescent="0.2">
      <c r="A1279" s="62">
        <f ca="1">IFERROR(__xludf.DUMMYFUNCTION("""COMPUTED_VALUE"""),10140008)</f>
        <v>10140008</v>
      </c>
      <c r="B1279" s="62" t="str">
        <f ca="1">IFERROR(__xludf.DUMMYFUNCTION("""COMPUTED_VALUE"""),"Camara Frontal Iphone 11 Pro")</f>
        <v>Camara Frontal Iphone 11 Pro</v>
      </c>
      <c r="C1279" s="75">
        <f ca="1">IFERROR(__xludf.DUMMYFUNCTION("""COMPUTED_VALUE"""),140)</f>
        <v>140</v>
      </c>
      <c r="D1279" s="75">
        <f ca="1">IFERROR(__xludf.DUMMYFUNCTION("""COMPUTED_VALUE"""),50)</f>
        <v>50</v>
      </c>
      <c r="E1279" s="76">
        <f ca="1">IFERROR(__xludf.DUMMYFUNCTION("""COMPUTED_VALUE"""),190)</f>
        <v>190</v>
      </c>
      <c r="F1279" s="77">
        <f ca="1">IFERROR(__xludf.DUMMYFUNCTION("""COMPUTED_VALUE"""),10140008)</f>
        <v>10140008</v>
      </c>
      <c r="G1279" s="77" t="str">
        <f t="shared" ca="1" si="5"/>
        <v>si</v>
      </c>
    </row>
    <row r="1280" spans="1:7" ht="12.75" x14ac:dyDescent="0.2">
      <c r="A1280" s="62">
        <f ca="1">IFERROR(__xludf.DUMMYFUNCTION("""COMPUTED_VALUE"""),10140009)</f>
        <v>10140009</v>
      </c>
      <c r="B1280" s="62" t="str">
        <f ca="1">IFERROR(__xludf.DUMMYFUNCTION("""COMPUTED_VALUE"""),"Camara Frontal Iphone 11 Pro max")</f>
        <v>Camara Frontal Iphone 11 Pro max</v>
      </c>
      <c r="C1280" s="75">
        <f ca="1">IFERROR(__xludf.DUMMYFUNCTION("""COMPUTED_VALUE"""),140)</f>
        <v>140</v>
      </c>
      <c r="D1280" s="75">
        <f ca="1">IFERROR(__xludf.DUMMYFUNCTION("""COMPUTED_VALUE"""),50)</f>
        <v>50</v>
      </c>
      <c r="E1280" s="76">
        <f ca="1">IFERROR(__xludf.DUMMYFUNCTION("""COMPUTED_VALUE"""),190)</f>
        <v>190</v>
      </c>
      <c r="F1280" s="77">
        <f ca="1">IFERROR(__xludf.DUMMYFUNCTION("""COMPUTED_VALUE"""),10140009)</f>
        <v>10140009</v>
      </c>
      <c r="G1280" s="77" t="str">
        <f t="shared" ca="1" si="5"/>
        <v>si</v>
      </c>
    </row>
    <row r="1281" spans="1:7" ht="12.75" x14ac:dyDescent="0.2">
      <c r="A1281" s="62">
        <f ca="1">IFERROR(__xludf.DUMMYFUNCTION("""COMPUTED_VALUE"""),10140010)</f>
        <v>10140010</v>
      </c>
      <c r="B1281" s="62" t="str">
        <f ca="1">IFERROR(__xludf.DUMMYFUNCTION("""COMPUTED_VALUE"""),"Camara Frontal Iphone 12 - 12 PRO")</f>
        <v>Camara Frontal Iphone 12 - 12 PRO</v>
      </c>
      <c r="C1281" s="75">
        <f ca="1">IFERROR(__xludf.DUMMYFUNCTION("""COMPUTED_VALUE"""),240)</f>
        <v>240</v>
      </c>
      <c r="D1281" s="75">
        <f ca="1">IFERROR(__xludf.DUMMYFUNCTION("""COMPUTED_VALUE"""),50)</f>
        <v>50</v>
      </c>
      <c r="E1281" s="76">
        <f ca="1">IFERROR(__xludf.DUMMYFUNCTION("""COMPUTED_VALUE"""),290)</f>
        <v>290</v>
      </c>
      <c r="F1281" s="77">
        <f ca="1">IFERROR(__xludf.DUMMYFUNCTION("""COMPUTED_VALUE"""),10140010)</f>
        <v>10140010</v>
      </c>
      <c r="G1281" s="77" t="str">
        <f t="shared" ca="1" si="5"/>
        <v>si</v>
      </c>
    </row>
    <row r="1282" spans="1:7" ht="12.75" x14ac:dyDescent="0.2">
      <c r="A1282" s="62">
        <f ca="1">IFERROR(__xludf.DUMMYFUNCTION("""COMPUTED_VALUE"""),10140011)</f>
        <v>10140011</v>
      </c>
      <c r="B1282" s="62" t="str">
        <f ca="1">IFERROR(__xludf.DUMMYFUNCTION("""COMPUTED_VALUE"""),"Camara Frontal Iphone 12 Pro ")</f>
        <v xml:space="preserve">Camara Frontal Iphone 12 Pro </v>
      </c>
      <c r="C1282" s="75">
        <f ca="1">IFERROR(__xludf.DUMMYFUNCTION("""COMPUTED_VALUE"""),240)</f>
        <v>240</v>
      </c>
      <c r="D1282" s="75">
        <f ca="1">IFERROR(__xludf.DUMMYFUNCTION("""COMPUTED_VALUE"""),50)</f>
        <v>50</v>
      </c>
      <c r="E1282" s="76">
        <f ca="1">IFERROR(__xludf.DUMMYFUNCTION("""COMPUTED_VALUE"""),290)</f>
        <v>290</v>
      </c>
      <c r="F1282" s="77">
        <f ca="1">IFERROR(__xludf.DUMMYFUNCTION("""COMPUTED_VALUE"""),10140011)</f>
        <v>10140011</v>
      </c>
      <c r="G1282" s="77" t="str">
        <f t="shared" ca="1" si="5"/>
        <v>si</v>
      </c>
    </row>
    <row r="1283" spans="1:7" ht="12.75" x14ac:dyDescent="0.2">
      <c r="A1283" s="62">
        <f ca="1">IFERROR(__xludf.DUMMYFUNCTION("""COMPUTED_VALUE"""),10140012)</f>
        <v>10140012</v>
      </c>
      <c r="B1283" s="62" t="str">
        <f ca="1">IFERROR(__xludf.DUMMYFUNCTION("""COMPUTED_VALUE"""),"Camara Frontal Iphone 12 Pro max")</f>
        <v>Camara Frontal Iphone 12 Pro max</v>
      </c>
      <c r="C1283" s="75">
        <f ca="1">IFERROR(__xludf.DUMMYFUNCTION("""COMPUTED_VALUE"""),340)</f>
        <v>340</v>
      </c>
      <c r="D1283" s="75">
        <f ca="1">IFERROR(__xludf.DUMMYFUNCTION("""COMPUTED_VALUE"""),50)</f>
        <v>50</v>
      </c>
      <c r="E1283" s="76">
        <f ca="1">IFERROR(__xludf.DUMMYFUNCTION("""COMPUTED_VALUE"""),390)</f>
        <v>390</v>
      </c>
      <c r="F1283" s="77">
        <f ca="1">IFERROR(__xludf.DUMMYFUNCTION("""COMPUTED_VALUE"""),10140012)</f>
        <v>10140012</v>
      </c>
      <c r="G1283" s="77" t="str">
        <f t="shared" ca="1" si="5"/>
        <v>si</v>
      </c>
    </row>
    <row r="1284" spans="1:7" ht="12.75" x14ac:dyDescent="0.2">
      <c r="A1284" s="62">
        <f ca="1">IFERROR(__xludf.DUMMYFUNCTION("""COMPUTED_VALUE"""),10080083)</f>
        <v>10080083</v>
      </c>
      <c r="B1284" s="62" t="str">
        <f ca="1">IFERROR(__xludf.DUMMYFUNCTION("""COMPUTED_VALUE"""),"Camara Frontal Redmi 9")</f>
        <v>Camara Frontal Redmi 9</v>
      </c>
      <c r="C1284" s="75">
        <f ca="1">IFERROR(__xludf.DUMMYFUNCTION("""COMPUTED_VALUE"""),75)</f>
        <v>75</v>
      </c>
      <c r="D1284" s="75">
        <f ca="1">IFERROR(__xludf.DUMMYFUNCTION("""COMPUTED_VALUE"""),30)</f>
        <v>30</v>
      </c>
      <c r="E1284" s="76">
        <f ca="1">IFERROR(__xludf.DUMMYFUNCTION("""COMPUTED_VALUE"""),105)</f>
        <v>105</v>
      </c>
      <c r="F1284" s="77">
        <f ca="1">IFERROR(__xludf.DUMMYFUNCTION("""COMPUTED_VALUE"""),10080083)</f>
        <v>10080083</v>
      </c>
      <c r="G1284" s="77" t="str">
        <f t="shared" ca="1" si="5"/>
        <v>si</v>
      </c>
    </row>
    <row r="1285" spans="1:7" ht="12.75" x14ac:dyDescent="0.2">
      <c r="A1285" s="62">
        <f ca="1">IFERROR(__xludf.DUMMYFUNCTION("""COMPUTED_VALUE"""),10080084)</f>
        <v>10080084</v>
      </c>
      <c r="B1285" s="62" t="str">
        <f ca="1">IFERROR(__xludf.DUMMYFUNCTION("""COMPUTED_VALUE"""),"Camara Frontal Redmi 9A - 9C")</f>
        <v>Camara Frontal Redmi 9A - 9C</v>
      </c>
      <c r="C1285" s="75">
        <f ca="1">IFERROR(__xludf.DUMMYFUNCTION("""COMPUTED_VALUE"""),75)</f>
        <v>75</v>
      </c>
      <c r="D1285" s="75">
        <f ca="1">IFERROR(__xludf.DUMMYFUNCTION("""COMPUTED_VALUE"""),30)</f>
        <v>30</v>
      </c>
      <c r="E1285" s="76">
        <f ca="1">IFERROR(__xludf.DUMMYFUNCTION("""COMPUTED_VALUE"""),105)</f>
        <v>105</v>
      </c>
      <c r="F1285" s="77">
        <f ca="1">IFERROR(__xludf.DUMMYFUNCTION("""COMPUTED_VALUE"""),10080084)</f>
        <v>10080084</v>
      </c>
      <c r="G1285" s="77" t="str">
        <f t="shared" ca="1" si="5"/>
        <v>si</v>
      </c>
    </row>
    <row r="1286" spans="1:7" ht="12.75" x14ac:dyDescent="0.2">
      <c r="A1286" s="62">
        <f ca="1">IFERROR(__xludf.DUMMYFUNCTION("""COMPUTED_VALUE"""),10080085)</f>
        <v>10080085</v>
      </c>
      <c r="B1286" s="62" t="str">
        <f ca="1">IFERROR(__xludf.DUMMYFUNCTION("""COMPUTED_VALUE"""),"Camara Frontal Redmi Note 9 5G - Note 9T")</f>
        <v>Camara Frontal Redmi Note 9 5G - Note 9T</v>
      </c>
      <c r="C1286" s="75">
        <f ca="1">IFERROR(__xludf.DUMMYFUNCTION("""COMPUTED_VALUE"""),75)</f>
        <v>75</v>
      </c>
      <c r="D1286" s="75">
        <f ca="1">IFERROR(__xludf.DUMMYFUNCTION("""COMPUTED_VALUE"""),30)</f>
        <v>30</v>
      </c>
      <c r="E1286" s="76">
        <f ca="1">IFERROR(__xludf.DUMMYFUNCTION("""COMPUTED_VALUE"""),105)</f>
        <v>105</v>
      </c>
      <c r="F1286" s="77">
        <f ca="1">IFERROR(__xludf.DUMMYFUNCTION("""COMPUTED_VALUE"""),10080085)</f>
        <v>10080085</v>
      </c>
      <c r="G1286" s="77" t="str">
        <f t="shared" ca="1" si="5"/>
        <v>si</v>
      </c>
    </row>
    <row r="1287" spans="1:7" ht="12.75" x14ac:dyDescent="0.2">
      <c r="A1287" s="62">
        <f ca="1">IFERROR(__xludf.DUMMYFUNCTION("""COMPUTED_VALUE"""),10080082)</f>
        <v>10080082</v>
      </c>
      <c r="B1287" s="62" t="str">
        <f ca="1">IFERROR(__xludf.DUMMYFUNCTION("""COMPUTED_VALUE"""),"Camara Frontal Redmi Note 9 Pro")</f>
        <v>Camara Frontal Redmi Note 9 Pro</v>
      </c>
      <c r="C1287" s="75">
        <f ca="1">IFERROR(__xludf.DUMMYFUNCTION("""COMPUTED_VALUE"""),75)</f>
        <v>75</v>
      </c>
      <c r="D1287" s="75">
        <f ca="1">IFERROR(__xludf.DUMMYFUNCTION("""COMPUTED_VALUE"""),30)</f>
        <v>30</v>
      </c>
      <c r="E1287" s="76">
        <f ca="1">IFERROR(__xludf.DUMMYFUNCTION("""COMPUTED_VALUE"""),105)</f>
        <v>105</v>
      </c>
      <c r="F1287" s="77">
        <f ca="1">IFERROR(__xludf.DUMMYFUNCTION("""COMPUTED_VALUE"""),10080082)</f>
        <v>10080082</v>
      </c>
      <c r="G1287" s="77" t="str">
        <f t="shared" ca="1" si="5"/>
        <v>si</v>
      </c>
    </row>
    <row r="1288" spans="1:7" ht="12.75" x14ac:dyDescent="0.2">
      <c r="A1288" s="62">
        <f ca="1">IFERROR(__xludf.DUMMYFUNCTION("""COMPUTED_VALUE"""),10080081)</f>
        <v>10080081</v>
      </c>
      <c r="B1288" s="62" t="str">
        <f ca="1">IFERROR(__xludf.DUMMYFUNCTION("""COMPUTED_VALUE"""),"Camara Frontal xiaomi redmi  8/8A")</f>
        <v>Camara Frontal xiaomi redmi  8/8A</v>
      </c>
      <c r="C1288" s="75">
        <f ca="1">IFERROR(__xludf.DUMMYFUNCTION("""COMPUTED_VALUE"""),75)</f>
        <v>75</v>
      </c>
      <c r="D1288" s="75">
        <f ca="1">IFERROR(__xludf.DUMMYFUNCTION("""COMPUTED_VALUE"""),30)</f>
        <v>30</v>
      </c>
      <c r="E1288" s="76">
        <f ca="1">IFERROR(__xludf.DUMMYFUNCTION("""COMPUTED_VALUE"""),105)</f>
        <v>105</v>
      </c>
      <c r="F1288" s="77">
        <f ca="1">IFERROR(__xludf.DUMMYFUNCTION("""COMPUTED_VALUE"""),10080081)</f>
        <v>10080081</v>
      </c>
      <c r="G1288" s="77" t="str">
        <f t="shared" ca="1" si="5"/>
        <v>si</v>
      </c>
    </row>
    <row r="1289" spans="1:7" ht="12.75" x14ac:dyDescent="0.2">
      <c r="A1289" s="62">
        <f ca="1">IFERROR(__xludf.DUMMYFUNCTION("""COMPUTED_VALUE"""),10080074)</f>
        <v>10080074</v>
      </c>
      <c r="B1289" s="62" t="str">
        <f ca="1">IFERROR(__xludf.DUMMYFUNCTION("""COMPUTED_VALUE"""),"Camara Frontal Samsung A11 ")</f>
        <v xml:space="preserve">Camara Frontal Samsung A11 </v>
      </c>
      <c r="C1289" s="75">
        <f ca="1">IFERROR(__xludf.DUMMYFUNCTION("""COMPUTED_VALUE"""),65)</f>
        <v>65</v>
      </c>
      <c r="D1289" s="75">
        <f ca="1">IFERROR(__xludf.DUMMYFUNCTION("""COMPUTED_VALUE"""),30)</f>
        <v>30</v>
      </c>
      <c r="E1289" s="76">
        <f ca="1">IFERROR(__xludf.DUMMYFUNCTION("""COMPUTED_VALUE"""),95)</f>
        <v>95</v>
      </c>
      <c r="F1289" s="77">
        <f ca="1">IFERROR(__xludf.DUMMYFUNCTION("""COMPUTED_VALUE"""),10080074)</f>
        <v>10080074</v>
      </c>
      <c r="G1289" s="77" t="str">
        <f t="shared" ca="1" si="5"/>
        <v>si</v>
      </c>
    </row>
    <row r="1290" spans="1:7" ht="12.75" x14ac:dyDescent="0.2">
      <c r="A1290" s="62">
        <f ca="1">IFERROR(__xludf.DUMMYFUNCTION("""COMPUTED_VALUE"""),10080077)</f>
        <v>10080077</v>
      </c>
      <c r="B1290" s="62" t="str">
        <f ca="1">IFERROR(__xludf.DUMMYFUNCTION("""COMPUTED_VALUE"""),"Camara Frontal Samsung A31")</f>
        <v>Camara Frontal Samsung A31</v>
      </c>
      <c r="C1290" s="75">
        <f ca="1">IFERROR(__xludf.DUMMYFUNCTION("""COMPUTED_VALUE"""),85)</f>
        <v>85</v>
      </c>
      <c r="D1290" s="75">
        <f ca="1">IFERROR(__xludf.DUMMYFUNCTION("""COMPUTED_VALUE"""),30)</f>
        <v>30</v>
      </c>
      <c r="E1290" s="76">
        <f ca="1">IFERROR(__xludf.DUMMYFUNCTION("""COMPUTED_VALUE"""),115)</f>
        <v>115</v>
      </c>
      <c r="F1290" s="77">
        <f ca="1">IFERROR(__xludf.DUMMYFUNCTION("""COMPUTED_VALUE"""),10080077)</f>
        <v>10080077</v>
      </c>
      <c r="G1290" s="77" t="str">
        <f t="shared" ca="1" si="5"/>
        <v>si</v>
      </c>
    </row>
    <row r="1291" spans="1:7" ht="12.75" x14ac:dyDescent="0.2">
      <c r="A1291" s="62">
        <f ca="1">IFERROR(__xludf.DUMMYFUNCTION("""COMPUTED_VALUE"""),10080153)</f>
        <v>10080153</v>
      </c>
      <c r="B1291" s="62" t="str">
        <f ca="1">IFERROR(__xludf.DUMMYFUNCTION("""COMPUTED_VALUE"""),"Camara Frontal Samsung A50 / A505F")</f>
        <v>Camara Frontal Samsung A50 / A505F</v>
      </c>
      <c r="C1291" s="75">
        <f ca="1">IFERROR(__xludf.DUMMYFUNCTION("""COMPUTED_VALUE"""),85)</f>
        <v>85</v>
      </c>
      <c r="D1291" s="75">
        <f ca="1">IFERROR(__xludf.DUMMYFUNCTION("""COMPUTED_VALUE"""),30)</f>
        <v>30</v>
      </c>
      <c r="E1291" s="76">
        <f ca="1">IFERROR(__xludf.DUMMYFUNCTION("""COMPUTED_VALUE"""),115)</f>
        <v>115</v>
      </c>
      <c r="F1291" s="77">
        <f ca="1">IFERROR(__xludf.DUMMYFUNCTION("""COMPUTED_VALUE"""),10080153)</f>
        <v>10080153</v>
      </c>
      <c r="G1291" s="77" t="str">
        <f t="shared" ca="1" si="5"/>
        <v>si</v>
      </c>
    </row>
    <row r="1292" spans="1:7" ht="12.75" x14ac:dyDescent="0.2">
      <c r="A1292" s="62">
        <f ca="1">IFERROR(__xludf.DUMMYFUNCTION("""COMPUTED_VALUE"""),10080075)</f>
        <v>10080075</v>
      </c>
      <c r="B1292" s="62" t="str">
        <f ca="1">IFERROR(__xludf.DUMMYFUNCTION("""COMPUTED_VALUE"""),"Camara Frontal Samsung A71")</f>
        <v>Camara Frontal Samsung A71</v>
      </c>
      <c r="C1292" s="75">
        <f ca="1">IFERROR(__xludf.DUMMYFUNCTION("""COMPUTED_VALUE"""),65)</f>
        <v>65</v>
      </c>
      <c r="D1292" s="75">
        <f ca="1">IFERROR(__xludf.DUMMYFUNCTION("""COMPUTED_VALUE"""),30)</f>
        <v>30</v>
      </c>
      <c r="E1292" s="76">
        <f ca="1">IFERROR(__xludf.DUMMYFUNCTION("""COMPUTED_VALUE"""),95)</f>
        <v>95</v>
      </c>
      <c r="F1292" s="77">
        <f ca="1">IFERROR(__xludf.DUMMYFUNCTION("""COMPUTED_VALUE"""),10080075)</f>
        <v>10080075</v>
      </c>
      <c r="G1292" s="77" t="str">
        <f t="shared" ca="1" si="5"/>
        <v>si</v>
      </c>
    </row>
    <row r="1293" spans="1:7" ht="12.75" x14ac:dyDescent="0.2">
      <c r="A1293" s="62">
        <f ca="1">IFERROR(__xludf.DUMMYFUNCTION("""COMPUTED_VALUE"""),10140023)</f>
        <v>10140023</v>
      </c>
      <c r="B1293" s="62" t="str">
        <f ca="1">IFERROR(__xludf.DUMMYFUNCTION("""COMPUTED_VALUE"""),"Camara Frontal Samsung Note 20 Ultra")</f>
        <v>Camara Frontal Samsung Note 20 Ultra</v>
      </c>
      <c r="C1293" s="75">
        <f ca="1">IFERROR(__xludf.DUMMYFUNCTION("""COMPUTED_VALUE"""),150)</f>
        <v>150</v>
      </c>
      <c r="D1293" s="75">
        <f ca="1">IFERROR(__xludf.DUMMYFUNCTION("""COMPUTED_VALUE"""),100)</f>
        <v>100</v>
      </c>
      <c r="E1293" s="76">
        <f ca="1">IFERROR(__xludf.DUMMYFUNCTION("""COMPUTED_VALUE"""),250)</f>
        <v>250</v>
      </c>
      <c r="F1293" s="77">
        <f ca="1">IFERROR(__xludf.DUMMYFUNCTION("""COMPUTED_VALUE"""),10140023)</f>
        <v>10140023</v>
      </c>
      <c r="G1293" s="77" t="str">
        <f t="shared" ca="1" si="5"/>
        <v>si</v>
      </c>
    </row>
    <row r="1294" spans="1:7" ht="12.75" x14ac:dyDescent="0.2">
      <c r="A1294" s="62">
        <f ca="1">IFERROR(__xludf.DUMMYFUNCTION("""COMPUTED_VALUE"""),10140024)</f>
        <v>10140024</v>
      </c>
      <c r="B1294" s="62" t="str">
        <f ca="1">IFERROR(__xludf.DUMMYFUNCTION("""COMPUTED_VALUE"""),"Camara Frontal Samsung Note 10 Plus")</f>
        <v>Camara Frontal Samsung Note 10 Plus</v>
      </c>
      <c r="C1294" s="75">
        <f ca="1">IFERROR(__xludf.DUMMYFUNCTION("""COMPUTED_VALUE"""),180)</f>
        <v>180</v>
      </c>
      <c r="D1294" s="75">
        <f ca="1">IFERROR(__xludf.DUMMYFUNCTION("""COMPUTED_VALUE"""),100)</f>
        <v>100</v>
      </c>
      <c r="E1294" s="76">
        <f ca="1">IFERROR(__xludf.DUMMYFUNCTION("""COMPUTED_VALUE"""),280)</f>
        <v>280</v>
      </c>
      <c r="F1294" s="77">
        <f ca="1">IFERROR(__xludf.DUMMYFUNCTION("""COMPUTED_VALUE"""),10140024)</f>
        <v>10140024</v>
      </c>
      <c r="G1294" s="77" t="str">
        <f t="shared" ca="1" si="5"/>
        <v>si</v>
      </c>
    </row>
    <row r="1295" spans="1:7" ht="12.75" x14ac:dyDescent="0.2">
      <c r="A1295" s="62">
        <f ca="1">IFERROR(__xludf.DUMMYFUNCTION("""COMPUTED_VALUE"""),10140025)</f>
        <v>10140025</v>
      </c>
      <c r="B1295" s="62" t="str">
        <f ca="1">IFERROR(__xludf.DUMMYFUNCTION("""COMPUTED_VALUE"""),"Camara Frontal Samsung S10 Plus")</f>
        <v>Camara Frontal Samsung S10 Plus</v>
      </c>
      <c r="C1295" s="75">
        <f ca="1">IFERROR(__xludf.DUMMYFUNCTION("""COMPUTED_VALUE"""),140)</f>
        <v>140</v>
      </c>
      <c r="D1295" s="75">
        <f ca="1">IFERROR(__xludf.DUMMYFUNCTION("""COMPUTED_VALUE"""),100)</f>
        <v>100</v>
      </c>
      <c r="E1295" s="76">
        <f ca="1">IFERROR(__xludf.DUMMYFUNCTION("""COMPUTED_VALUE"""),240)</f>
        <v>240</v>
      </c>
      <c r="F1295" s="77">
        <f ca="1">IFERROR(__xludf.DUMMYFUNCTION("""COMPUTED_VALUE"""),10140025)</f>
        <v>10140025</v>
      </c>
      <c r="G1295" s="77" t="str">
        <f t="shared" ca="1" si="5"/>
        <v>si</v>
      </c>
    </row>
    <row r="1296" spans="1:7" ht="12.75" x14ac:dyDescent="0.2">
      <c r="A1296" s="62">
        <f ca="1">IFERROR(__xludf.DUMMYFUNCTION("""COMPUTED_VALUE"""),10140026)</f>
        <v>10140026</v>
      </c>
      <c r="B1296" s="62" t="str">
        <f ca="1">IFERROR(__xludf.DUMMYFUNCTION("""COMPUTED_VALUE"""),"Camara Frontal Samsung S10 ")</f>
        <v xml:space="preserve">Camara Frontal Samsung S10 </v>
      </c>
      <c r="C1296" s="75">
        <f ca="1">IFERROR(__xludf.DUMMYFUNCTION("""COMPUTED_VALUE"""),140)</f>
        <v>140</v>
      </c>
      <c r="D1296" s="75">
        <f ca="1">IFERROR(__xludf.DUMMYFUNCTION("""COMPUTED_VALUE"""),100)</f>
        <v>100</v>
      </c>
      <c r="E1296" s="76">
        <f ca="1">IFERROR(__xludf.DUMMYFUNCTION("""COMPUTED_VALUE"""),240)</f>
        <v>240</v>
      </c>
      <c r="F1296" s="77">
        <f ca="1">IFERROR(__xludf.DUMMYFUNCTION("""COMPUTED_VALUE"""),10140026)</f>
        <v>10140026</v>
      </c>
      <c r="G1296" s="77" t="str">
        <f t="shared" ca="1" si="5"/>
        <v>si</v>
      </c>
    </row>
    <row r="1297" spans="1:7" ht="12.75" x14ac:dyDescent="0.2">
      <c r="A1297" s="62">
        <f ca="1">IFERROR(__xludf.DUMMYFUNCTION("""COMPUTED_VALUE"""),10140027)</f>
        <v>10140027</v>
      </c>
      <c r="B1297" s="62" t="str">
        <f ca="1">IFERROR(__xludf.DUMMYFUNCTION("""COMPUTED_VALUE"""),"Camara Frontal Samsung S20 - S20 Plus")</f>
        <v>Camara Frontal Samsung S20 - S20 Plus</v>
      </c>
      <c r="C1297" s="75">
        <f ca="1">IFERROR(__xludf.DUMMYFUNCTION("""COMPUTED_VALUE"""),140)</f>
        <v>140</v>
      </c>
      <c r="D1297" s="75">
        <f ca="1">IFERROR(__xludf.DUMMYFUNCTION("""COMPUTED_VALUE"""),100)</f>
        <v>100</v>
      </c>
      <c r="E1297" s="76">
        <f ca="1">IFERROR(__xludf.DUMMYFUNCTION("""COMPUTED_VALUE"""),240)</f>
        <v>240</v>
      </c>
      <c r="F1297" s="77">
        <f ca="1">IFERROR(__xludf.DUMMYFUNCTION("""COMPUTED_VALUE"""),10140027)</f>
        <v>10140027</v>
      </c>
      <c r="G1297" s="77" t="str">
        <f t="shared" ca="1" si="5"/>
        <v>si</v>
      </c>
    </row>
    <row r="1298" spans="1:7" ht="12.75" x14ac:dyDescent="0.2">
      <c r="A1298" s="62">
        <f ca="1">IFERROR(__xludf.DUMMYFUNCTION("""COMPUTED_VALUE"""),10140028)</f>
        <v>10140028</v>
      </c>
      <c r="B1298" s="62" t="str">
        <f ca="1">IFERROR(__xludf.DUMMYFUNCTION("""COMPUTED_VALUE"""),"Camara Frontal Samsung S20 Plus")</f>
        <v>Camara Frontal Samsung S20 Plus</v>
      </c>
      <c r="C1298" s="75">
        <f ca="1">IFERROR(__xludf.DUMMYFUNCTION("""COMPUTED_VALUE"""),140)</f>
        <v>140</v>
      </c>
      <c r="D1298" s="75">
        <f ca="1">IFERROR(__xludf.DUMMYFUNCTION("""COMPUTED_VALUE"""),100)</f>
        <v>100</v>
      </c>
      <c r="E1298" s="76">
        <f ca="1">IFERROR(__xludf.DUMMYFUNCTION("""COMPUTED_VALUE"""),240)</f>
        <v>240</v>
      </c>
      <c r="F1298" s="77">
        <f ca="1">IFERROR(__xludf.DUMMYFUNCTION("""COMPUTED_VALUE"""),10140028)</f>
        <v>10140028</v>
      </c>
      <c r="G1298" s="77" t="str">
        <f t="shared" ca="1" si="5"/>
        <v>si</v>
      </c>
    </row>
    <row r="1299" spans="1:7" ht="12.75" x14ac:dyDescent="0.2">
      <c r="A1299" s="62">
        <f ca="1">IFERROR(__xludf.DUMMYFUNCTION("""COMPUTED_VALUE"""),10140041)</f>
        <v>10140041</v>
      </c>
      <c r="B1299" s="62" t="str">
        <f ca="1">IFERROR(__xludf.DUMMYFUNCTION("""COMPUTED_VALUE"""),"Camara Frontal Samsung A20")</f>
        <v>Camara Frontal Samsung A20</v>
      </c>
      <c r="C1299" s="75">
        <f ca="1">IFERROR(__xludf.DUMMYFUNCTION("""COMPUTED_VALUE"""),80)</f>
        <v>80</v>
      </c>
      <c r="D1299" s="75">
        <f ca="1">IFERROR(__xludf.DUMMYFUNCTION("""COMPUTED_VALUE"""),30)</f>
        <v>30</v>
      </c>
      <c r="E1299" s="76">
        <f ca="1">IFERROR(__xludf.DUMMYFUNCTION("""COMPUTED_VALUE"""),110)</f>
        <v>110</v>
      </c>
      <c r="F1299" s="77">
        <f ca="1">IFERROR(__xludf.DUMMYFUNCTION("""COMPUTED_VALUE"""),10140041)</f>
        <v>10140041</v>
      </c>
      <c r="G1299" s="77" t="str">
        <f t="shared" ca="1" si="5"/>
        <v>si</v>
      </c>
    </row>
    <row r="1300" spans="1:7" ht="12.75" x14ac:dyDescent="0.2">
      <c r="A1300" s="62">
        <f ca="1">IFERROR(__xludf.DUMMYFUNCTION("""COMPUTED_VALUE"""),10140042)</f>
        <v>10140042</v>
      </c>
      <c r="B1300" s="62" t="str">
        <f ca="1">IFERROR(__xludf.DUMMYFUNCTION("""COMPUTED_VALUE"""),"Camara Frontal Samsung A10")</f>
        <v>Camara Frontal Samsung A10</v>
      </c>
      <c r="C1300" s="75">
        <f ca="1">IFERROR(__xludf.DUMMYFUNCTION("""COMPUTED_VALUE"""),80)</f>
        <v>80</v>
      </c>
      <c r="D1300" s="75">
        <f ca="1">IFERROR(__xludf.DUMMYFUNCTION("""COMPUTED_VALUE"""),30)</f>
        <v>30</v>
      </c>
      <c r="E1300" s="76">
        <f ca="1">IFERROR(__xludf.DUMMYFUNCTION("""COMPUTED_VALUE"""),110)</f>
        <v>110</v>
      </c>
      <c r="F1300" s="77">
        <f ca="1">IFERROR(__xludf.DUMMYFUNCTION("""COMPUTED_VALUE"""),10140042)</f>
        <v>10140042</v>
      </c>
      <c r="G1300" s="77" t="str">
        <f t="shared" ca="1" si="5"/>
        <v>si</v>
      </c>
    </row>
    <row r="1301" spans="1:7" ht="12.75" x14ac:dyDescent="0.2">
      <c r="A1301" s="62">
        <f ca="1">IFERROR(__xludf.DUMMYFUNCTION("""COMPUTED_VALUE"""),10140043)</f>
        <v>10140043</v>
      </c>
      <c r="B1301" s="62" t="str">
        <f ca="1">IFERROR(__xludf.DUMMYFUNCTION("""COMPUTED_VALUE"""),"Camara Frontal Samsung A10S")</f>
        <v>Camara Frontal Samsung A10S</v>
      </c>
      <c r="C1301" s="75">
        <f ca="1">IFERROR(__xludf.DUMMYFUNCTION("""COMPUTED_VALUE"""),80)</f>
        <v>80</v>
      </c>
      <c r="D1301" s="75">
        <f ca="1">IFERROR(__xludf.DUMMYFUNCTION("""COMPUTED_VALUE"""),30)</f>
        <v>30</v>
      </c>
      <c r="E1301" s="76">
        <f ca="1">IFERROR(__xludf.DUMMYFUNCTION("""COMPUTED_VALUE"""),110)</f>
        <v>110</v>
      </c>
      <c r="F1301" s="77">
        <f ca="1">IFERROR(__xludf.DUMMYFUNCTION("""COMPUTED_VALUE"""),10140043)</f>
        <v>10140043</v>
      </c>
      <c r="G1301" s="77" t="str">
        <f t="shared" ca="1" si="5"/>
        <v>si</v>
      </c>
    </row>
    <row r="1302" spans="1:7" ht="12.75" x14ac:dyDescent="0.2">
      <c r="A1302" s="62">
        <f ca="1">IFERROR(__xludf.DUMMYFUNCTION("""COMPUTED_VALUE"""),10140044)</f>
        <v>10140044</v>
      </c>
      <c r="B1302" s="62" t="str">
        <f ca="1">IFERROR(__xludf.DUMMYFUNCTION("""COMPUTED_VALUE"""),"Camara Frontal Samsung A30")</f>
        <v>Camara Frontal Samsung A30</v>
      </c>
      <c r="C1302" s="75">
        <f ca="1">IFERROR(__xludf.DUMMYFUNCTION("""COMPUTED_VALUE"""),80)</f>
        <v>80</v>
      </c>
      <c r="D1302" s="75">
        <f ca="1">IFERROR(__xludf.DUMMYFUNCTION("""COMPUTED_VALUE"""),30)</f>
        <v>30</v>
      </c>
      <c r="E1302" s="76">
        <f ca="1">IFERROR(__xludf.DUMMYFUNCTION("""COMPUTED_VALUE"""),110)</f>
        <v>110</v>
      </c>
      <c r="F1302" s="77">
        <f ca="1">IFERROR(__xludf.DUMMYFUNCTION("""COMPUTED_VALUE"""),10140044)</f>
        <v>10140044</v>
      </c>
      <c r="G1302" s="77" t="str">
        <f t="shared" ca="1" si="5"/>
        <v>si</v>
      </c>
    </row>
    <row r="1303" spans="1:7" ht="12.75" x14ac:dyDescent="0.2">
      <c r="A1303" s="62">
        <f ca="1">IFERROR(__xludf.DUMMYFUNCTION("""COMPUTED_VALUE"""),10140045)</f>
        <v>10140045</v>
      </c>
      <c r="B1303" s="62" t="str">
        <f ca="1">IFERROR(__xludf.DUMMYFUNCTION("""COMPUTED_VALUE"""),"Camara Frontal Samsung A30S")</f>
        <v>Camara Frontal Samsung A30S</v>
      </c>
      <c r="C1303" s="75">
        <f ca="1">IFERROR(__xludf.DUMMYFUNCTION("""COMPUTED_VALUE"""),90)</f>
        <v>90</v>
      </c>
      <c r="D1303" s="75">
        <f ca="1">IFERROR(__xludf.DUMMYFUNCTION("""COMPUTED_VALUE"""),30)</f>
        <v>30</v>
      </c>
      <c r="E1303" s="76">
        <f ca="1">IFERROR(__xludf.DUMMYFUNCTION("""COMPUTED_VALUE"""),120)</f>
        <v>120</v>
      </c>
      <c r="F1303" s="77">
        <f ca="1">IFERROR(__xludf.DUMMYFUNCTION("""COMPUTED_VALUE"""),10140045)</f>
        <v>10140045</v>
      </c>
      <c r="G1303" s="77" t="str">
        <f t="shared" ca="1" si="5"/>
        <v>si</v>
      </c>
    </row>
    <row r="1304" spans="1:7" ht="12.75" x14ac:dyDescent="0.2">
      <c r="A1304" s="62">
        <f ca="1">IFERROR(__xludf.DUMMYFUNCTION("""COMPUTED_VALUE"""),10140046)</f>
        <v>10140046</v>
      </c>
      <c r="B1304" s="62" t="str">
        <f ca="1">IFERROR(__xludf.DUMMYFUNCTION("""COMPUTED_VALUE"""),"Camara Frontal Samsung A70")</f>
        <v>Camara Frontal Samsung A70</v>
      </c>
      <c r="C1304" s="75">
        <f ca="1">IFERROR(__xludf.DUMMYFUNCTION("""COMPUTED_VALUE"""),100)</f>
        <v>100</v>
      </c>
      <c r="D1304" s="75">
        <f ca="1">IFERROR(__xludf.DUMMYFUNCTION("""COMPUTED_VALUE"""),30)</f>
        <v>30</v>
      </c>
      <c r="E1304" s="76">
        <f ca="1">IFERROR(__xludf.DUMMYFUNCTION("""COMPUTED_VALUE"""),130)</f>
        <v>130</v>
      </c>
      <c r="F1304" s="77">
        <f ca="1">IFERROR(__xludf.DUMMYFUNCTION("""COMPUTED_VALUE"""),10140046)</f>
        <v>10140046</v>
      </c>
      <c r="G1304" s="77" t="str">
        <f t="shared" ca="1" si="5"/>
        <v>si</v>
      </c>
    </row>
    <row r="1305" spans="1:7" ht="12.75" x14ac:dyDescent="0.2">
      <c r="A1305" s="62">
        <f ca="1">IFERROR(__xludf.DUMMYFUNCTION("""COMPUTED_VALUE"""),10160355)</f>
        <v>10160355</v>
      </c>
      <c r="B1305" s="62" t="str">
        <f ca="1">IFERROR(__xludf.DUMMYFUNCTION("""COMPUTED_VALUE"""),"Camara Samsung A80")</f>
        <v>Camara Samsung A80</v>
      </c>
      <c r="C1305" s="75">
        <f ca="1">IFERROR(__xludf.DUMMYFUNCTION("""COMPUTED_VALUE"""),100)</f>
        <v>100</v>
      </c>
      <c r="D1305" s="75">
        <f ca="1">IFERROR(__xludf.DUMMYFUNCTION("""COMPUTED_VALUE"""),50)</f>
        <v>50</v>
      </c>
      <c r="E1305" s="76">
        <f ca="1">IFERROR(__xludf.DUMMYFUNCTION("""COMPUTED_VALUE"""),150)</f>
        <v>150</v>
      </c>
      <c r="F1305" s="77">
        <f ca="1">IFERROR(__xludf.DUMMYFUNCTION("""COMPUTED_VALUE"""),10160355)</f>
        <v>10160355</v>
      </c>
      <c r="G1305" s="77" t="str">
        <f t="shared" ca="1" si="5"/>
        <v>si</v>
      </c>
    </row>
    <row r="1306" spans="1:7" ht="12.75" x14ac:dyDescent="0.2">
      <c r="A1306" s="62">
        <f ca="1">IFERROR(__xludf.DUMMYFUNCTION("""COMPUTED_VALUE"""),10140048)</f>
        <v>10140048</v>
      </c>
      <c r="B1306" s="62" t="str">
        <f ca="1">IFERROR(__xludf.DUMMYFUNCTION("""COMPUTED_VALUE"""),"Camara Frontal Samsung S8")</f>
        <v>Camara Frontal Samsung S8</v>
      </c>
      <c r="C1306" s="75">
        <f ca="1">IFERROR(__xludf.DUMMYFUNCTION("""COMPUTED_VALUE"""),100)</f>
        <v>100</v>
      </c>
      <c r="D1306" s="75">
        <f ca="1">IFERROR(__xludf.DUMMYFUNCTION("""COMPUTED_VALUE"""),80)</f>
        <v>80</v>
      </c>
      <c r="E1306" s="76">
        <f ca="1">IFERROR(__xludf.DUMMYFUNCTION("""COMPUTED_VALUE"""),180)</f>
        <v>180</v>
      </c>
      <c r="F1306" s="77">
        <f ca="1">IFERROR(__xludf.DUMMYFUNCTION("""COMPUTED_VALUE"""),10140048)</f>
        <v>10140048</v>
      </c>
      <c r="G1306" s="77" t="str">
        <f t="shared" ca="1" si="5"/>
        <v>si</v>
      </c>
    </row>
    <row r="1307" spans="1:7" ht="12.75" x14ac:dyDescent="0.2">
      <c r="A1307" s="62">
        <f ca="1">IFERROR(__xludf.DUMMYFUNCTION("""COMPUTED_VALUE"""),10140049)</f>
        <v>10140049</v>
      </c>
      <c r="B1307" s="62" t="str">
        <f ca="1">IFERROR(__xludf.DUMMYFUNCTION("""COMPUTED_VALUE"""),"Camara Frontal Samsung S8 Plus")</f>
        <v>Camara Frontal Samsung S8 Plus</v>
      </c>
      <c r="C1307" s="75">
        <f ca="1">IFERROR(__xludf.DUMMYFUNCTION("""COMPUTED_VALUE"""),100)</f>
        <v>100</v>
      </c>
      <c r="D1307" s="75">
        <f ca="1">IFERROR(__xludf.DUMMYFUNCTION("""COMPUTED_VALUE"""),80)</f>
        <v>80</v>
      </c>
      <c r="E1307" s="76">
        <f ca="1">IFERROR(__xludf.DUMMYFUNCTION("""COMPUTED_VALUE"""),180)</f>
        <v>180</v>
      </c>
      <c r="F1307" s="77">
        <f ca="1">IFERROR(__xludf.DUMMYFUNCTION("""COMPUTED_VALUE"""),10140049)</f>
        <v>10140049</v>
      </c>
      <c r="G1307" s="77" t="str">
        <f t="shared" ca="1" si="5"/>
        <v>si</v>
      </c>
    </row>
    <row r="1308" spans="1:7" ht="12.75" x14ac:dyDescent="0.2">
      <c r="A1308" s="62">
        <f ca="1">IFERROR(__xludf.DUMMYFUNCTION("""COMPUTED_VALUE"""),10140050)</f>
        <v>10140050</v>
      </c>
      <c r="B1308" s="62" t="str">
        <f ca="1">IFERROR(__xludf.DUMMYFUNCTION("""COMPUTED_VALUE"""),"Camara Frontal Samsung S9")</f>
        <v>Camara Frontal Samsung S9</v>
      </c>
      <c r="C1308" s="75">
        <f ca="1">IFERROR(__xludf.DUMMYFUNCTION("""COMPUTED_VALUE"""),100)</f>
        <v>100</v>
      </c>
      <c r="D1308" s="75">
        <f ca="1">IFERROR(__xludf.DUMMYFUNCTION("""COMPUTED_VALUE"""),80)</f>
        <v>80</v>
      </c>
      <c r="E1308" s="76">
        <f ca="1">IFERROR(__xludf.DUMMYFUNCTION("""COMPUTED_VALUE"""),180)</f>
        <v>180</v>
      </c>
      <c r="F1308" s="77">
        <f ca="1">IFERROR(__xludf.DUMMYFUNCTION("""COMPUTED_VALUE"""),10140050)</f>
        <v>10140050</v>
      </c>
      <c r="G1308" s="77" t="str">
        <f t="shared" ca="1" si="5"/>
        <v>si</v>
      </c>
    </row>
    <row r="1309" spans="1:7" ht="12.75" x14ac:dyDescent="0.2">
      <c r="A1309" s="62">
        <f ca="1">IFERROR(__xludf.DUMMYFUNCTION("""COMPUTED_VALUE"""),10140051)</f>
        <v>10140051</v>
      </c>
      <c r="B1309" s="62" t="str">
        <f ca="1">IFERROR(__xludf.DUMMYFUNCTION("""COMPUTED_VALUE"""),"Camara Frontal Samsung S9 Plus")</f>
        <v>Camara Frontal Samsung S9 Plus</v>
      </c>
      <c r="C1309" s="75">
        <f ca="1">IFERROR(__xludf.DUMMYFUNCTION("""COMPUTED_VALUE"""),100)</f>
        <v>100</v>
      </c>
      <c r="D1309" s="75">
        <f ca="1">IFERROR(__xludf.DUMMYFUNCTION("""COMPUTED_VALUE"""),80)</f>
        <v>80</v>
      </c>
      <c r="E1309" s="76">
        <f ca="1">IFERROR(__xludf.DUMMYFUNCTION("""COMPUTED_VALUE"""),180)</f>
        <v>180</v>
      </c>
      <c r="F1309" s="77">
        <f ca="1">IFERROR(__xludf.DUMMYFUNCTION("""COMPUTED_VALUE"""),10140051)</f>
        <v>10140051</v>
      </c>
      <c r="G1309" s="77" t="str">
        <f t="shared" ca="1" si="5"/>
        <v>si</v>
      </c>
    </row>
    <row r="1310" spans="1:7" ht="12.75" x14ac:dyDescent="0.2">
      <c r="A1310" s="62">
        <f ca="1">IFERROR(__xludf.DUMMYFUNCTION("""COMPUTED_VALUE"""),10140052)</f>
        <v>10140052</v>
      </c>
      <c r="B1310" s="62" t="str">
        <f ca="1">IFERROR(__xludf.DUMMYFUNCTION("""COMPUTED_VALUE"""),"Camara Frontal Samsung S21 - S21 Plus")</f>
        <v>Camara Frontal Samsung S21 - S21 Plus</v>
      </c>
      <c r="C1310" s="75">
        <f ca="1">IFERROR(__xludf.DUMMYFUNCTION("""COMPUTED_VALUE"""),140)</f>
        <v>140</v>
      </c>
      <c r="D1310" s="75">
        <f ca="1">IFERROR(__xludf.DUMMYFUNCTION("""COMPUTED_VALUE"""),100)</f>
        <v>100</v>
      </c>
      <c r="E1310" s="76">
        <f ca="1">IFERROR(__xludf.DUMMYFUNCTION("""COMPUTED_VALUE"""),240)</f>
        <v>240</v>
      </c>
      <c r="F1310" s="77">
        <f ca="1">IFERROR(__xludf.DUMMYFUNCTION("""COMPUTED_VALUE"""),10140052)</f>
        <v>10140052</v>
      </c>
      <c r="G1310" s="77" t="str">
        <f t="shared" ca="1" si="5"/>
        <v>si</v>
      </c>
    </row>
    <row r="1311" spans="1:7" ht="12.75" x14ac:dyDescent="0.2">
      <c r="A1311" s="62">
        <f ca="1">IFERROR(__xludf.DUMMYFUNCTION("""COMPUTED_VALUE"""),10140053)</f>
        <v>10140053</v>
      </c>
      <c r="B1311" s="62" t="str">
        <f ca="1">IFERROR(__xludf.DUMMYFUNCTION("""COMPUTED_VALUE"""),"Camara Frontal Samsung S21 Ultra")</f>
        <v>Camara Frontal Samsung S21 Ultra</v>
      </c>
      <c r="C1311" s="75">
        <f ca="1">IFERROR(__xludf.DUMMYFUNCTION("""COMPUTED_VALUE"""),140)</f>
        <v>140</v>
      </c>
      <c r="D1311" s="75">
        <f ca="1">IFERROR(__xludf.DUMMYFUNCTION("""COMPUTED_VALUE"""),100)</f>
        <v>100</v>
      </c>
      <c r="E1311" s="76">
        <f ca="1">IFERROR(__xludf.DUMMYFUNCTION("""COMPUTED_VALUE"""),240)</f>
        <v>240</v>
      </c>
      <c r="F1311" s="77">
        <f ca="1">IFERROR(__xludf.DUMMYFUNCTION("""COMPUTED_VALUE"""),10140053)</f>
        <v>10140053</v>
      </c>
      <c r="G1311" s="77" t="str">
        <f t="shared" ca="1" si="5"/>
        <v>si</v>
      </c>
    </row>
    <row r="1312" spans="1:7" ht="12.75" x14ac:dyDescent="0.2">
      <c r="A1312" s="62">
        <f ca="1">IFERROR(__xludf.DUMMYFUNCTION("""COMPUTED_VALUE"""),10010463)</f>
        <v>10010463</v>
      </c>
      <c r="B1312" s="62" t="str">
        <f ca="1">IFERROR(__xludf.DUMMYFUNCTION("""COMPUTED_VALUE"""),"Camara Frontal Xiaomi PocoPhone F2")</f>
        <v>Camara Frontal Xiaomi PocoPhone F2</v>
      </c>
      <c r="C1312" s="75">
        <f ca="1">IFERROR(__xludf.DUMMYFUNCTION("""COMPUTED_VALUE"""),90)</f>
        <v>90</v>
      </c>
      <c r="D1312" s="75">
        <f ca="1">IFERROR(__xludf.DUMMYFUNCTION("""COMPUTED_VALUE"""),40)</f>
        <v>40</v>
      </c>
      <c r="E1312" s="76">
        <f ca="1">IFERROR(__xludf.DUMMYFUNCTION("""COMPUTED_VALUE"""),130)</f>
        <v>130</v>
      </c>
      <c r="F1312" s="77">
        <f ca="1">IFERROR(__xludf.DUMMYFUNCTION("""COMPUTED_VALUE"""),10010463)</f>
        <v>10010463</v>
      </c>
      <c r="G1312" s="77" t="str">
        <f t="shared" ca="1" si="5"/>
        <v>si</v>
      </c>
    </row>
    <row r="1313" spans="1:7" ht="12.75" x14ac:dyDescent="0.2">
      <c r="A1313" s="62">
        <f ca="1">IFERROR(__xludf.DUMMYFUNCTION("""COMPUTED_VALUE"""),10140059)</f>
        <v>10140059</v>
      </c>
      <c r="B1313" s="62" t="str">
        <f ca="1">IFERROR(__xludf.DUMMYFUNCTION("""COMPUTED_VALUE"""),"Camara Frontal Xiaomi PocoPhone F2 Pro")</f>
        <v>Camara Frontal Xiaomi PocoPhone F2 Pro</v>
      </c>
      <c r="C1313" s="75">
        <f ca="1">IFERROR(__xludf.DUMMYFUNCTION("""COMPUTED_VALUE"""),90)</f>
        <v>90</v>
      </c>
      <c r="D1313" s="75">
        <f ca="1">IFERROR(__xludf.DUMMYFUNCTION("""COMPUTED_VALUE"""),40)</f>
        <v>40</v>
      </c>
      <c r="E1313" s="76">
        <f ca="1">IFERROR(__xludf.DUMMYFUNCTION("""COMPUTED_VALUE"""),130)</f>
        <v>130</v>
      </c>
      <c r="F1313" s="77">
        <f ca="1">IFERROR(__xludf.DUMMYFUNCTION("""COMPUTED_VALUE"""),10140059)</f>
        <v>10140059</v>
      </c>
      <c r="G1313" s="77" t="str">
        <f t="shared" ca="1" si="5"/>
        <v>si</v>
      </c>
    </row>
    <row r="1314" spans="1:7" ht="12.75" x14ac:dyDescent="0.2">
      <c r="A1314" s="62">
        <f ca="1">IFERROR(__xludf.DUMMYFUNCTION("""COMPUTED_VALUE"""),10140060)</f>
        <v>10140060</v>
      </c>
      <c r="B1314" s="62" t="str">
        <f ca="1">IFERROR(__xludf.DUMMYFUNCTION("""COMPUTED_VALUE"""),"Camara Frontal Xiaomi Mi A2")</f>
        <v>Camara Frontal Xiaomi Mi A2</v>
      </c>
      <c r="C1314" s="75">
        <f ca="1">IFERROR(__xludf.DUMMYFUNCTION("""COMPUTED_VALUE"""),90)</f>
        <v>90</v>
      </c>
      <c r="D1314" s="75">
        <f ca="1">IFERROR(__xludf.DUMMYFUNCTION("""COMPUTED_VALUE"""),40)</f>
        <v>40</v>
      </c>
      <c r="E1314" s="76">
        <f ca="1">IFERROR(__xludf.DUMMYFUNCTION("""COMPUTED_VALUE"""),130)</f>
        <v>130</v>
      </c>
      <c r="F1314" s="77">
        <f ca="1">IFERROR(__xludf.DUMMYFUNCTION("""COMPUTED_VALUE"""),10140060)</f>
        <v>10140060</v>
      </c>
      <c r="G1314" s="77" t="str">
        <f t="shared" ca="1" si="5"/>
        <v>si</v>
      </c>
    </row>
    <row r="1315" spans="1:7" ht="12.75" x14ac:dyDescent="0.2">
      <c r="A1315" s="62">
        <f ca="1">IFERROR(__xludf.DUMMYFUNCTION("""COMPUTED_VALUE"""),10140061)</f>
        <v>10140061</v>
      </c>
      <c r="B1315" s="62" t="str">
        <f ca="1">IFERROR(__xludf.DUMMYFUNCTION("""COMPUTED_VALUE"""),"Camara Frontal Xiaomi  Mi A3")</f>
        <v>Camara Frontal Xiaomi  Mi A3</v>
      </c>
      <c r="C1315" s="75">
        <f ca="1">IFERROR(__xludf.DUMMYFUNCTION("""COMPUTED_VALUE"""),90)</f>
        <v>90</v>
      </c>
      <c r="D1315" s="75">
        <f ca="1">IFERROR(__xludf.DUMMYFUNCTION("""COMPUTED_VALUE"""),40)</f>
        <v>40</v>
      </c>
      <c r="E1315" s="76">
        <f ca="1">IFERROR(__xludf.DUMMYFUNCTION("""COMPUTED_VALUE"""),130)</f>
        <v>130</v>
      </c>
      <c r="F1315" s="77">
        <f ca="1">IFERROR(__xludf.DUMMYFUNCTION("""COMPUTED_VALUE"""),10140061)</f>
        <v>10140061</v>
      </c>
      <c r="G1315" s="77" t="str">
        <f t="shared" ca="1" si="5"/>
        <v>si</v>
      </c>
    </row>
    <row r="1316" spans="1:7" ht="12.75" x14ac:dyDescent="0.2">
      <c r="A1316" s="62">
        <f ca="1">IFERROR(__xludf.DUMMYFUNCTION("""COMPUTED_VALUE"""),10140062)</f>
        <v>10140062</v>
      </c>
      <c r="B1316" s="62" t="str">
        <f ca="1">IFERROR(__xludf.DUMMYFUNCTION("""COMPUTED_VALUE"""),"Camara Frontal Xiaomi Mi A2 Lite - Redmi 6Pro")</f>
        <v>Camara Frontal Xiaomi Mi A2 Lite - Redmi 6Pro</v>
      </c>
      <c r="C1316" s="75">
        <f ca="1">IFERROR(__xludf.DUMMYFUNCTION("""COMPUTED_VALUE"""),90)</f>
        <v>90</v>
      </c>
      <c r="D1316" s="75">
        <f ca="1">IFERROR(__xludf.DUMMYFUNCTION("""COMPUTED_VALUE"""),40)</f>
        <v>40</v>
      </c>
      <c r="E1316" s="76">
        <f ca="1">IFERROR(__xludf.DUMMYFUNCTION("""COMPUTED_VALUE"""),130)</f>
        <v>130</v>
      </c>
      <c r="F1316" s="77">
        <f ca="1">IFERROR(__xludf.DUMMYFUNCTION("""COMPUTED_VALUE"""),10140062)</f>
        <v>10140062</v>
      </c>
      <c r="G1316" s="77" t="str">
        <f t="shared" ca="1" si="5"/>
        <v>si</v>
      </c>
    </row>
    <row r="1317" spans="1:7" ht="12.75" x14ac:dyDescent="0.2">
      <c r="A1317" s="62">
        <f ca="1">IFERROR(__xludf.DUMMYFUNCTION("""COMPUTED_VALUE"""),10140063)</f>
        <v>10140063</v>
      </c>
      <c r="B1317" s="62" t="str">
        <f ca="1">IFERROR(__xludf.DUMMYFUNCTION("""COMPUTED_VALUE"""),"Camara Frontal Xiaomi  Mi A1 - Mi 5X")</f>
        <v>Camara Frontal Xiaomi  Mi A1 - Mi 5X</v>
      </c>
      <c r="C1317" s="75">
        <f ca="1">IFERROR(__xludf.DUMMYFUNCTION("""COMPUTED_VALUE"""),90)</f>
        <v>90</v>
      </c>
      <c r="D1317" s="75">
        <f ca="1">IFERROR(__xludf.DUMMYFUNCTION("""COMPUTED_VALUE"""),40)</f>
        <v>40</v>
      </c>
      <c r="E1317" s="76">
        <f ca="1">IFERROR(__xludf.DUMMYFUNCTION("""COMPUTED_VALUE"""),130)</f>
        <v>130</v>
      </c>
      <c r="F1317" s="77">
        <f ca="1">IFERROR(__xludf.DUMMYFUNCTION("""COMPUTED_VALUE"""),10140063)</f>
        <v>10140063</v>
      </c>
      <c r="G1317" s="77" t="str">
        <f t="shared" ca="1" si="5"/>
        <v>si</v>
      </c>
    </row>
    <row r="1318" spans="1:7" ht="12.75" x14ac:dyDescent="0.2">
      <c r="A1318" s="62">
        <f ca="1">IFERROR(__xludf.DUMMYFUNCTION("""COMPUTED_VALUE"""),10140064)</f>
        <v>10140064</v>
      </c>
      <c r="B1318" s="62" t="str">
        <f ca="1">IFERROR(__xludf.DUMMYFUNCTION("""COMPUTED_VALUE"""),"Camara Frontal Xiaomi Poco X3 - X3 Pro - Poco X3 NFC")</f>
        <v>Camara Frontal Xiaomi Poco X3 - X3 Pro - Poco X3 NFC</v>
      </c>
      <c r="C1318" s="75">
        <f ca="1">IFERROR(__xludf.DUMMYFUNCTION("""COMPUTED_VALUE"""),90)</f>
        <v>90</v>
      </c>
      <c r="D1318" s="75">
        <f ca="1">IFERROR(__xludf.DUMMYFUNCTION("""COMPUTED_VALUE"""),40)</f>
        <v>40</v>
      </c>
      <c r="E1318" s="76">
        <f ca="1">IFERROR(__xludf.DUMMYFUNCTION("""COMPUTED_VALUE"""),130)</f>
        <v>130</v>
      </c>
      <c r="F1318" s="77">
        <f ca="1">IFERROR(__xludf.DUMMYFUNCTION("""COMPUTED_VALUE"""),10140064)</f>
        <v>10140064</v>
      </c>
      <c r="G1318" s="77" t="str">
        <f t="shared" ca="1" si="5"/>
        <v>si</v>
      </c>
    </row>
    <row r="1319" spans="1:7" ht="12.75" x14ac:dyDescent="0.2">
      <c r="A1319" s="62">
        <f ca="1">IFERROR(__xludf.DUMMYFUNCTION("""COMPUTED_VALUE"""),10140065)</f>
        <v>10140065</v>
      </c>
      <c r="B1319" s="62" t="str">
        <f ca="1">IFERROR(__xludf.DUMMYFUNCTION("""COMPUTED_VALUE"""),"Camara Frontal Xiaomi  MI  Poco M3")</f>
        <v>Camara Frontal Xiaomi  MI  Poco M3</v>
      </c>
      <c r="C1319" s="75">
        <f ca="1">IFERROR(__xludf.DUMMYFUNCTION("""COMPUTED_VALUE"""),90)</f>
        <v>90</v>
      </c>
      <c r="D1319" s="75">
        <f ca="1">IFERROR(__xludf.DUMMYFUNCTION("""COMPUTED_VALUE"""),40)</f>
        <v>40</v>
      </c>
      <c r="E1319" s="76">
        <f ca="1">IFERROR(__xludf.DUMMYFUNCTION("""COMPUTED_VALUE"""),130)</f>
        <v>130</v>
      </c>
      <c r="F1319" s="77">
        <f ca="1">IFERROR(__xludf.DUMMYFUNCTION("""COMPUTED_VALUE"""),10140065)</f>
        <v>10140065</v>
      </c>
      <c r="G1319" s="77" t="str">
        <f t="shared" ca="1" si="5"/>
        <v>si</v>
      </c>
    </row>
    <row r="1320" spans="1:7" ht="12.75" x14ac:dyDescent="0.2">
      <c r="A1320" s="62">
        <f ca="1">IFERROR(__xludf.DUMMYFUNCTION("""COMPUTED_VALUE"""),10140066)</f>
        <v>10140066</v>
      </c>
      <c r="B1320" s="62" t="str">
        <f ca="1">IFERROR(__xludf.DUMMYFUNCTION("""COMPUTED_VALUE"""),"Camara Frontal Xiaomi  Note 7 - 7pro")</f>
        <v>Camara Frontal Xiaomi  Note 7 - 7pro</v>
      </c>
      <c r="C1320" s="75">
        <f ca="1">IFERROR(__xludf.DUMMYFUNCTION("""COMPUTED_VALUE"""),90)</f>
        <v>90</v>
      </c>
      <c r="D1320" s="75">
        <f ca="1">IFERROR(__xludf.DUMMYFUNCTION("""COMPUTED_VALUE"""),40)</f>
        <v>40</v>
      </c>
      <c r="E1320" s="76">
        <f ca="1">IFERROR(__xludf.DUMMYFUNCTION("""COMPUTED_VALUE"""),130)</f>
        <v>130</v>
      </c>
      <c r="F1320" s="77">
        <f ca="1">IFERROR(__xludf.DUMMYFUNCTION("""COMPUTED_VALUE"""),10140066)</f>
        <v>10140066</v>
      </c>
      <c r="G1320" s="77" t="str">
        <f t="shared" ca="1" si="5"/>
        <v>si</v>
      </c>
    </row>
    <row r="1321" spans="1:7" ht="12.75" x14ac:dyDescent="0.2">
      <c r="A1321" s="62">
        <f ca="1">IFERROR(__xludf.DUMMYFUNCTION("""COMPUTED_VALUE"""),10140067)</f>
        <v>10140067</v>
      </c>
      <c r="B1321" s="62" t="str">
        <f ca="1">IFERROR(__xludf.DUMMYFUNCTION("""COMPUTED_VALUE"""),"Camara Frontal Xiaomi   Note 8")</f>
        <v>Camara Frontal Xiaomi   Note 8</v>
      </c>
      <c r="C1321" s="75">
        <f ca="1">IFERROR(__xludf.DUMMYFUNCTION("""COMPUTED_VALUE"""),90)</f>
        <v>90</v>
      </c>
      <c r="D1321" s="75">
        <f ca="1">IFERROR(__xludf.DUMMYFUNCTION("""COMPUTED_VALUE"""),40)</f>
        <v>40</v>
      </c>
      <c r="E1321" s="76">
        <f ca="1">IFERROR(__xludf.DUMMYFUNCTION("""COMPUTED_VALUE"""),130)</f>
        <v>130</v>
      </c>
      <c r="F1321" s="77">
        <f ca="1">IFERROR(__xludf.DUMMYFUNCTION("""COMPUTED_VALUE"""),10140067)</f>
        <v>10140067</v>
      </c>
      <c r="G1321" s="77" t="str">
        <f t="shared" ca="1" si="5"/>
        <v>si</v>
      </c>
    </row>
    <row r="1322" spans="1:7" ht="12.75" x14ac:dyDescent="0.2">
      <c r="A1322" s="62">
        <f ca="1">IFERROR(__xludf.DUMMYFUNCTION("""COMPUTED_VALUE"""),10140068)</f>
        <v>10140068</v>
      </c>
      <c r="B1322" s="62" t="str">
        <f ca="1">IFERROR(__xludf.DUMMYFUNCTION("""COMPUTED_VALUE"""),"Camara Frontal Xiaomi   Note 9s")</f>
        <v>Camara Frontal Xiaomi   Note 9s</v>
      </c>
      <c r="C1322" s="75">
        <f ca="1">IFERROR(__xludf.DUMMYFUNCTION("""COMPUTED_VALUE"""),90)</f>
        <v>90</v>
      </c>
      <c r="D1322" s="75">
        <f ca="1">IFERROR(__xludf.DUMMYFUNCTION("""COMPUTED_VALUE"""),40)</f>
        <v>40</v>
      </c>
      <c r="E1322" s="76">
        <f ca="1">IFERROR(__xludf.DUMMYFUNCTION("""COMPUTED_VALUE"""),130)</f>
        <v>130</v>
      </c>
      <c r="F1322" s="77">
        <f ca="1">IFERROR(__xludf.DUMMYFUNCTION("""COMPUTED_VALUE"""),10140068)</f>
        <v>10140068</v>
      </c>
      <c r="G1322" s="77" t="str">
        <f t="shared" ca="1" si="5"/>
        <v>si</v>
      </c>
    </row>
    <row r="1323" spans="1:7" ht="12.75" x14ac:dyDescent="0.2">
      <c r="A1323" s="62">
        <f ca="1">IFERROR(__xludf.DUMMYFUNCTION("""COMPUTED_VALUE"""),10140069)</f>
        <v>10140069</v>
      </c>
      <c r="B1323" s="62" t="str">
        <f ca="1">IFERROR(__xludf.DUMMYFUNCTION("""COMPUTED_VALUE"""),"Camara Frontal Xiaomi Redmi Note 9T / Note 9 5g")</f>
        <v>Camara Frontal Xiaomi Redmi Note 9T / Note 9 5g</v>
      </c>
      <c r="C1323" s="75">
        <f ca="1">IFERROR(__xludf.DUMMYFUNCTION("""COMPUTED_VALUE"""),90)</f>
        <v>90</v>
      </c>
      <c r="D1323" s="75">
        <f ca="1">IFERROR(__xludf.DUMMYFUNCTION("""COMPUTED_VALUE"""),40)</f>
        <v>40</v>
      </c>
      <c r="E1323" s="76">
        <f ca="1">IFERROR(__xludf.DUMMYFUNCTION("""COMPUTED_VALUE"""),130)</f>
        <v>130</v>
      </c>
      <c r="F1323" s="77">
        <f ca="1">IFERROR(__xludf.DUMMYFUNCTION("""COMPUTED_VALUE"""),10140069)</f>
        <v>10140069</v>
      </c>
      <c r="G1323" s="77" t="str">
        <f t="shared" ca="1" si="5"/>
        <v>si</v>
      </c>
    </row>
    <row r="1324" spans="1:7" ht="12.75" x14ac:dyDescent="0.2">
      <c r="A1324" s="62">
        <f ca="1">IFERROR(__xludf.DUMMYFUNCTION("""COMPUTED_VALUE"""),10140070)</f>
        <v>10140070</v>
      </c>
      <c r="B1324" s="62" t="str">
        <f ca="1">IFERROR(__xludf.DUMMYFUNCTION("""COMPUTED_VALUE"""),"Camara Frontal Xiaomi   Redmi Note 10s / Note 10")</f>
        <v>Camara Frontal Xiaomi   Redmi Note 10s / Note 10</v>
      </c>
      <c r="C1324" s="75">
        <f ca="1">IFERROR(__xludf.DUMMYFUNCTION("""COMPUTED_VALUE"""),90)</f>
        <v>90</v>
      </c>
      <c r="D1324" s="75">
        <f ca="1">IFERROR(__xludf.DUMMYFUNCTION("""COMPUTED_VALUE"""),40)</f>
        <v>40</v>
      </c>
      <c r="E1324" s="76">
        <f ca="1">IFERROR(__xludf.DUMMYFUNCTION("""COMPUTED_VALUE"""),130)</f>
        <v>130</v>
      </c>
      <c r="F1324" s="77">
        <f ca="1">IFERROR(__xludf.DUMMYFUNCTION("""COMPUTED_VALUE"""),10140070)</f>
        <v>10140070</v>
      </c>
      <c r="G1324" s="77" t="str">
        <f t="shared" ca="1" si="5"/>
        <v>si</v>
      </c>
    </row>
    <row r="1325" spans="1:7" ht="12.75" x14ac:dyDescent="0.2">
      <c r="A1325" s="62">
        <f ca="1">IFERROR(__xludf.DUMMYFUNCTION("""COMPUTED_VALUE"""),10140071)</f>
        <v>10140071</v>
      </c>
      <c r="B1325" s="62" t="str">
        <f ca="1">IFERROR(__xludf.DUMMYFUNCTION("""COMPUTED_VALUE"""),"Camara Frontal Xiaomi   MI Note 10 Pro /Note 10 / Note 10 lite")</f>
        <v>Camara Frontal Xiaomi   MI Note 10 Pro /Note 10 / Note 10 lite</v>
      </c>
      <c r="C1325" s="75">
        <f ca="1">IFERROR(__xludf.DUMMYFUNCTION("""COMPUTED_VALUE"""),90)</f>
        <v>90</v>
      </c>
      <c r="D1325" s="75">
        <f ca="1">IFERROR(__xludf.DUMMYFUNCTION("""COMPUTED_VALUE"""),40)</f>
        <v>40</v>
      </c>
      <c r="E1325" s="76">
        <f ca="1">IFERROR(__xludf.DUMMYFUNCTION("""COMPUTED_VALUE"""),130)</f>
        <v>130</v>
      </c>
      <c r="F1325" s="77">
        <f ca="1">IFERROR(__xludf.DUMMYFUNCTION("""COMPUTED_VALUE"""),10140071)</f>
        <v>10140071</v>
      </c>
      <c r="G1325" s="77" t="str">
        <f t="shared" ca="1" si="5"/>
        <v>si</v>
      </c>
    </row>
    <row r="1326" spans="1:7" ht="12.75" x14ac:dyDescent="0.2">
      <c r="A1326" s="62">
        <f ca="1">IFERROR(__xludf.DUMMYFUNCTION("""COMPUTED_VALUE"""),10140072)</f>
        <v>10140072</v>
      </c>
      <c r="B1326" s="62" t="str">
        <f ca="1">IFERROR(__xludf.DUMMYFUNCTION("""COMPUTED_VALUE"""),"Camara Frontal Xiaomi   Redmi 7")</f>
        <v>Camara Frontal Xiaomi   Redmi 7</v>
      </c>
      <c r="C1326" s="75">
        <f ca="1">IFERROR(__xludf.DUMMYFUNCTION("""COMPUTED_VALUE"""),90)</f>
        <v>90</v>
      </c>
      <c r="D1326" s="75">
        <f ca="1">IFERROR(__xludf.DUMMYFUNCTION("""COMPUTED_VALUE"""),40)</f>
        <v>40</v>
      </c>
      <c r="E1326" s="76">
        <f ca="1">IFERROR(__xludf.DUMMYFUNCTION("""COMPUTED_VALUE"""),130)</f>
        <v>130</v>
      </c>
      <c r="F1326" s="77">
        <f ca="1">IFERROR(__xludf.DUMMYFUNCTION("""COMPUTED_VALUE"""),10140072)</f>
        <v>10140072</v>
      </c>
      <c r="G1326" s="77" t="str">
        <f t="shared" ca="1" si="5"/>
        <v>si</v>
      </c>
    </row>
    <row r="1327" spans="1:7" ht="12.75" x14ac:dyDescent="0.2">
      <c r="A1327" s="62">
        <f ca="1">IFERROR(__xludf.DUMMYFUNCTION("""COMPUTED_VALUE"""),10140073)</f>
        <v>10140073</v>
      </c>
      <c r="B1327" s="62" t="str">
        <f ca="1">IFERROR(__xludf.DUMMYFUNCTION("""COMPUTED_VALUE"""),"Camara Frontal Xiaomi   Redmi 7A")</f>
        <v>Camara Frontal Xiaomi   Redmi 7A</v>
      </c>
      <c r="C1327" s="75">
        <f ca="1">IFERROR(__xludf.DUMMYFUNCTION("""COMPUTED_VALUE"""),90)</f>
        <v>90</v>
      </c>
      <c r="D1327" s="75">
        <f ca="1">IFERROR(__xludf.DUMMYFUNCTION("""COMPUTED_VALUE"""),40)</f>
        <v>40</v>
      </c>
      <c r="E1327" s="76">
        <f ca="1">IFERROR(__xludf.DUMMYFUNCTION("""COMPUTED_VALUE"""),130)</f>
        <v>130</v>
      </c>
      <c r="F1327" s="77">
        <f ca="1">IFERROR(__xludf.DUMMYFUNCTION("""COMPUTED_VALUE"""),10140073)</f>
        <v>10140073</v>
      </c>
      <c r="G1327" s="77" t="str">
        <f t="shared" ca="1" si="5"/>
        <v>si</v>
      </c>
    </row>
    <row r="1328" spans="1:7" ht="12.75" x14ac:dyDescent="0.2">
      <c r="A1328" s="62">
        <f ca="1">IFERROR(__xludf.DUMMYFUNCTION("""COMPUTED_VALUE"""),10140074)</f>
        <v>10140074</v>
      </c>
      <c r="B1328" s="62" t="str">
        <f ca="1">IFERROR(__xludf.DUMMYFUNCTION("""COMPUTED_VALUE"""),"Camara Frontal Xiaomi   Redmi 9T")</f>
        <v>Camara Frontal Xiaomi   Redmi 9T</v>
      </c>
      <c r="C1328" s="75">
        <f ca="1">IFERROR(__xludf.DUMMYFUNCTION("""COMPUTED_VALUE"""),90)</f>
        <v>90</v>
      </c>
      <c r="D1328" s="75">
        <f ca="1">IFERROR(__xludf.DUMMYFUNCTION("""COMPUTED_VALUE"""),40)</f>
        <v>40</v>
      </c>
      <c r="E1328" s="76">
        <f ca="1">IFERROR(__xludf.DUMMYFUNCTION("""COMPUTED_VALUE"""),130)</f>
        <v>130</v>
      </c>
      <c r="F1328" s="77">
        <f ca="1">IFERROR(__xludf.DUMMYFUNCTION("""COMPUTED_VALUE"""),10140074)</f>
        <v>10140074</v>
      </c>
      <c r="G1328" s="77" t="str">
        <f t="shared" ca="1" si="5"/>
        <v>si</v>
      </c>
    </row>
    <row r="1329" spans="1:7" ht="12.75" x14ac:dyDescent="0.2">
      <c r="A1329" s="62">
        <f ca="1">IFERROR(__xludf.DUMMYFUNCTION("""COMPUTED_VALUE"""),10140075)</f>
        <v>10140075</v>
      </c>
      <c r="B1329" s="62" t="str">
        <f ca="1">IFERROR(__xludf.DUMMYFUNCTION("""COMPUTED_VALUE"""),"Camara Frontal Xiaomi   Redmi Note 10 Pro")</f>
        <v>Camara Frontal Xiaomi   Redmi Note 10 Pro</v>
      </c>
      <c r="C1329" s="75">
        <f ca="1">IFERROR(__xludf.DUMMYFUNCTION("""COMPUTED_VALUE"""),90)</f>
        <v>90</v>
      </c>
      <c r="D1329" s="75">
        <f ca="1">IFERROR(__xludf.DUMMYFUNCTION("""COMPUTED_VALUE"""),40)</f>
        <v>40</v>
      </c>
      <c r="E1329" s="76">
        <f ca="1">IFERROR(__xludf.DUMMYFUNCTION("""COMPUTED_VALUE"""),130)</f>
        <v>130</v>
      </c>
      <c r="F1329" s="77">
        <f ca="1">IFERROR(__xludf.DUMMYFUNCTION("""COMPUTED_VALUE"""),10140075)</f>
        <v>10140075</v>
      </c>
      <c r="G1329" s="77" t="str">
        <f t="shared" ca="1" si="5"/>
        <v>si</v>
      </c>
    </row>
    <row r="1330" spans="1:7" ht="12.75" x14ac:dyDescent="0.2">
      <c r="A1330" s="62">
        <f ca="1">IFERROR(__xludf.DUMMYFUNCTION("""COMPUTED_VALUE"""),10140076)</f>
        <v>10140076</v>
      </c>
      <c r="B1330" s="62" t="str">
        <f ca="1">IFERROR(__xludf.DUMMYFUNCTION("""COMPUTED_VALUE"""),"Camara Frontal Xiaomi   Mi 8")</f>
        <v>Camara Frontal Xiaomi   Mi 8</v>
      </c>
      <c r="C1330" s="75">
        <f ca="1">IFERROR(__xludf.DUMMYFUNCTION("""COMPUTED_VALUE"""),90)</f>
        <v>90</v>
      </c>
      <c r="D1330" s="75">
        <f ca="1">IFERROR(__xludf.DUMMYFUNCTION("""COMPUTED_VALUE"""),40)</f>
        <v>40</v>
      </c>
      <c r="E1330" s="76">
        <f ca="1">IFERROR(__xludf.DUMMYFUNCTION("""COMPUTED_VALUE"""),130)</f>
        <v>130</v>
      </c>
      <c r="F1330" s="77">
        <f ca="1">IFERROR(__xludf.DUMMYFUNCTION("""COMPUTED_VALUE"""),10140076)</f>
        <v>10140076</v>
      </c>
      <c r="G1330" s="77" t="str">
        <f t="shared" ca="1" si="5"/>
        <v>si</v>
      </c>
    </row>
    <row r="1331" spans="1:7" ht="12.75" x14ac:dyDescent="0.2">
      <c r="A1331" s="62">
        <f ca="1">IFERROR(__xludf.DUMMYFUNCTION("""COMPUTED_VALUE"""),10140077)</f>
        <v>10140077</v>
      </c>
      <c r="B1331" s="62" t="str">
        <f ca="1">IFERROR(__xludf.DUMMYFUNCTION("""COMPUTED_VALUE"""),"Camara Frontal Xiaomi   Mi 8 Lite")</f>
        <v>Camara Frontal Xiaomi   Mi 8 Lite</v>
      </c>
      <c r="C1331" s="75">
        <f ca="1">IFERROR(__xludf.DUMMYFUNCTION("""COMPUTED_VALUE"""),90)</f>
        <v>90</v>
      </c>
      <c r="D1331" s="75">
        <f ca="1">IFERROR(__xludf.DUMMYFUNCTION("""COMPUTED_VALUE"""),40)</f>
        <v>40</v>
      </c>
      <c r="E1331" s="76">
        <f ca="1">IFERROR(__xludf.DUMMYFUNCTION("""COMPUTED_VALUE"""),130)</f>
        <v>130</v>
      </c>
      <c r="F1331" s="77">
        <f ca="1">IFERROR(__xludf.DUMMYFUNCTION("""COMPUTED_VALUE"""),10140077)</f>
        <v>10140077</v>
      </c>
      <c r="G1331" s="77" t="str">
        <f t="shared" ca="1" si="5"/>
        <v>si</v>
      </c>
    </row>
    <row r="1332" spans="1:7" ht="12.75" x14ac:dyDescent="0.2">
      <c r="A1332" s="62">
        <f ca="1">IFERROR(__xludf.DUMMYFUNCTION("""COMPUTED_VALUE"""),10140078)</f>
        <v>10140078</v>
      </c>
      <c r="B1332" s="62" t="str">
        <f ca="1">IFERROR(__xludf.DUMMYFUNCTION("""COMPUTED_VALUE"""),"Camara Frontal Xiaomi   Mi 9T / Mi 9T Pro / K20 PRO")</f>
        <v>Camara Frontal Xiaomi   Mi 9T / Mi 9T Pro / K20 PRO</v>
      </c>
      <c r="C1332" s="75">
        <f ca="1">IFERROR(__xludf.DUMMYFUNCTION("""COMPUTED_VALUE"""),90)</f>
        <v>90</v>
      </c>
      <c r="D1332" s="75">
        <f ca="1">IFERROR(__xludf.DUMMYFUNCTION("""COMPUTED_VALUE"""),40)</f>
        <v>40</v>
      </c>
      <c r="E1332" s="76">
        <f ca="1">IFERROR(__xludf.DUMMYFUNCTION("""COMPUTED_VALUE"""),130)</f>
        <v>130</v>
      </c>
      <c r="F1332" s="77">
        <f ca="1">IFERROR(__xludf.DUMMYFUNCTION("""COMPUTED_VALUE"""),10140078)</f>
        <v>10140078</v>
      </c>
      <c r="G1332" s="77" t="str">
        <f t="shared" ca="1" si="5"/>
        <v>si</v>
      </c>
    </row>
    <row r="1333" spans="1:7" ht="12.75" x14ac:dyDescent="0.2">
      <c r="A1333" s="62">
        <f ca="1">IFERROR(__xludf.DUMMYFUNCTION("""COMPUTED_VALUE"""),10140079)</f>
        <v>10140079</v>
      </c>
      <c r="B1333" s="62" t="str">
        <f ca="1">IFERROR(__xludf.DUMMYFUNCTION("""COMPUTED_VALUE"""),"Camara Frontal Xiaomi   Mi 9")</f>
        <v>Camara Frontal Xiaomi   Mi 9</v>
      </c>
      <c r="C1333" s="75">
        <f ca="1">IFERROR(__xludf.DUMMYFUNCTION("""COMPUTED_VALUE"""),90)</f>
        <v>90</v>
      </c>
      <c r="D1333" s="75">
        <f ca="1">IFERROR(__xludf.DUMMYFUNCTION("""COMPUTED_VALUE"""),40)</f>
        <v>40</v>
      </c>
      <c r="E1333" s="76">
        <f ca="1">IFERROR(__xludf.DUMMYFUNCTION("""COMPUTED_VALUE"""),130)</f>
        <v>130</v>
      </c>
      <c r="F1333" s="77">
        <f ca="1">IFERROR(__xludf.DUMMYFUNCTION("""COMPUTED_VALUE"""),10140079)</f>
        <v>10140079</v>
      </c>
      <c r="G1333" s="77" t="str">
        <f t="shared" ca="1" si="5"/>
        <v>si</v>
      </c>
    </row>
    <row r="1334" spans="1:7" ht="12.75" x14ac:dyDescent="0.2">
      <c r="A1334" s="62">
        <f ca="1">IFERROR(__xludf.DUMMYFUNCTION("""COMPUTED_VALUE"""),10140080)</f>
        <v>10140080</v>
      </c>
      <c r="B1334" s="62" t="str">
        <f ca="1">IFERROR(__xludf.DUMMYFUNCTION("""COMPUTED_VALUE"""),"Camara Frontal Xiaomi   Mi 9 Lite")</f>
        <v>Camara Frontal Xiaomi   Mi 9 Lite</v>
      </c>
      <c r="C1334" s="75">
        <f ca="1">IFERROR(__xludf.DUMMYFUNCTION("""COMPUTED_VALUE"""),90)</f>
        <v>90</v>
      </c>
      <c r="D1334" s="75">
        <f ca="1">IFERROR(__xludf.DUMMYFUNCTION("""COMPUTED_VALUE"""),40)</f>
        <v>40</v>
      </c>
      <c r="E1334" s="76">
        <f ca="1">IFERROR(__xludf.DUMMYFUNCTION("""COMPUTED_VALUE"""),130)</f>
        <v>130</v>
      </c>
      <c r="F1334" s="77">
        <f ca="1">IFERROR(__xludf.DUMMYFUNCTION("""COMPUTED_VALUE"""),10140080)</f>
        <v>10140080</v>
      </c>
      <c r="G1334" s="77" t="str">
        <f t="shared" ca="1" si="5"/>
        <v>si</v>
      </c>
    </row>
    <row r="1335" spans="1:7" ht="12.75" x14ac:dyDescent="0.2">
      <c r="A1335" s="62">
        <f ca="1">IFERROR(__xludf.DUMMYFUNCTION("""COMPUTED_VALUE"""),10140081)</f>
        <v>10140081</v>
      </c>
      <c r="B1335" s="62" t="str">
        <f ca="1">IFERROR(__xludf.DUMMYFUNCTION("""COMPUTED_VALUE"""),"Camara Frontal Xiaomi   Mi 9SE")</f>
        <v>Camara Frontal Xiaomi   Mi 9SE</v>
      </c>
      <c r="C1335" s="75">
        <f ca="1">IFERROR(__xludf.DUMMYFUNCTION("""COMPUTED_VALUE"""),90)</f>
        <v>90</v>
      </c>
      <c r="D1335" s="75">
        <f ca="1">IFERROR(__xludf.DUMMYFUNCTION("""COMPUTED_VALUE"""),40)</f>
        <v>40</v>
      </c>
      <c r="E1335" s="76">
        <f ca="1">IFERROR(__xludf.DUMMYFUNCTION("""COMPUTED_VALUE"""),130)</f>
        <v>130</v>
      </c>
      <c r="F1335" s="77">
        <f ca="1">IFERROR(__xludf.DUMMYFUNCTION("""COMPUTED_VALUE"""),10140081)</f>
        <v>10140081</v>
      </c>
      <c r="G1335" s="77" t="str">
        <f t="shared" ca="1" si="5"/>
        <v>si</v>
      </c>
    </row>
    <row r="1336" spans="1:7" ht="12.75" x14ac:dyDescent="0.2">
      <c r="A1336" s="62">
        <f ca="1">IFERROR(__xludf.DUMMYFUNCTION("""COMPUTED_VALUE"""),10140082)</f>
        <v>10140082</v>
      </c>
      <c r="B1336" s="62" t="str">
        <f ca="1">IFERROR(__xludf.DUMMYFUNCTION("""COMPUTED_VALUE"""),"Camara Frontal Xiaomi   Mi 10T / mi 10T Pro")</f>
        <v>Camara Frontal Xiaomi   Mi 10T / mi 10T Pro</v>
      </c>
      <c r="C1336" s="75">
        <f ca="1">IFERROR(__xludf.DUMMYFUNCTION("""COMPUTED_VALUE"""),90)</f>
        <v>90</v>
      </c>
      <c r="D1336" s="75">
        <f ca="1">IFERROR(__xludf.DUMMYFUNCTION("""COMPUTED_VALUE"""),40)</f>
        <v>40</v>
      </c>
      <c r="E1336" s="76">
        <f ca="1">IFERROR(__xludf.DUMMYFUNCTION("""COMPUTED_VALUE"""),130)</f>
        <v>130</v>
      </c>
      <c r="F1336" s="77">
        <f ca="1">IFERROR(__xludf.DUMMYFUNCTION("""COMPUTED_VALUE"""),10140082)</f>
        <v>10140082</v>
      </c>
      <c r="G1336" s="77" t="str">
        <f t="shared" ca="1" si="5"/>
        <v>si</v>
      </c>
    </row>
    <row r="1337" spans="1:7" ht="12.75" x14ac:dyDescent="0.2">
      <c r="A1337" s="62">
        <f ca="1">IFERROR(__xludf.DUMMYFUNCTION("""COMPUTED_VALUE"""),10140083)</f>
        <v>10140083</v>
      </c>
      <c r="B1337" s="62" t="str">
        <f ca="1">IFERROR(__xludf.DUMMYFUNCTION("""COMPUTED_VALUE"""),"Camara Frontal Xiaomi   Mi 11 - Mi 11 Lite 5G")</f>
        <v>Camara Frontal Xiaomi   Mi 11 - Mi 11 Lite 5G</v>
      </c>
      <c r="C1337" s="75">
        <f ca="1">IFERROR(__xludf.DUMMYFUNCTION("""COMPUTED_VALUE"""),90)</f>
        <v>90</v>
      </c>
      <c r="D1337" s="75">
        <f ca="1">IFERROR(__xludf.DUMMYFUNCTION("""COMPUTED_VALUE"""),40)</f>
        <v>40</v>
      </c>
      <c r="E1337" s="76">
        <f ca="1">IFERROR(__xludf.DUMMYFUNCTION("""COMPUTED_VALUE"""),130)</f>
        <v>130</v>
      </c>
      <c r="F1337" s="77">
        <f ca="1">IFERROR(__xludf.DUMMYFUNCTION("""COMPUTED_VALUE"""),10140083)</f>
        <v>10140083</v>
      </c>
      <c r="G1337" s="77" t="str">
        <f t="shared" ca="1" si="5"/>
        <v>si</v>
      </c>
    </row>
    <row r="1338" spans="1:7" ht="12.75" x14ac:dyDescent="0.2">
      <c r="A1338" s="62">
        <f ca="1">IFERROR(__xludf.DUMMYFUNCTION("""COMPUTED_VALUE"""),10140084)</f>
        <v>10140084</v>
      </c>
      <c r="B1338" s="62" t="str">
        <f ca="1">IFERROR(__xludf.DUMMYFUNCTION("""COMPUTED_VALUE"""),"Camara Frontal Xiaomi   Mi 11 Lite")</f>
        <v>Camara Frontal Xiaomi   Mi 11 Lite</v>
      </c>
      <c r="C1338" s="75">
        <f ca="1">IFERROR(__xludf.DUMMYFUNCTION("""COMPUTED_VALUE"""),90)</f>
        <v>90</v>
      </c>
      <c r="D1338" s="75">
        <f ca="1">IFERROR(__xludf.DUMMYFUNCTION("""COMPUTED_VALUE"""),40)</f>
        <v>40</v>
      </c>
      <c r="E1338" s="76">
        <f ca="1">IFERROR(__xludf.DUMMYFUNCTION("""COMPUTED_VALUE"""),130)</f>
        <v>130</v>
      </c>
      <c r="F1338" s="77">
        <f ca="1">IFERROR(__xludf.DUMMYFUNCTION("""COMPUTED_VALUE"""),10140084)</f>
        <v>10140084</v>
      </c>
      <c r="G1338" s="77" t="str">
        <f t="shared" ca="1" si="5"/>
        <v>si</v>
      </c>
    </row>
    <row r="1339" spans="1:7" ht="12.75" x14ac:dyDescent="0.2">
      <c r="A1339" s="62">
        <f ca="1">IFERROR(__xludf.DUMMYFUNCTION("""COMPUTED_VALUE"""),10140085)</f>
        <v>10140085</v>
      </c>
      <c r="B1339" s="62" t="str">
        <f ca="1">IFERROR(__xludf.DUMMYFUNCTION("""COMPUTED_VALUE"""),"Camara Frontal Xiaomi   Mi 11T")</f>
        <v>Camara Frontal Xiaomi   Mi 11T</v>
      </c>
      <c r="C1339" s="75">
        <f ca="1">IFERROR(__xludf.DUMMYFUNCTION("""COMPUTED_VALUE"""),90)</f>
        <v>90</v>
      </c>
      <c r="D1339" s="75">
        <f ca="1">IFERROR(__xludf.DUMMYFUNCTION("""COMPUTED_VALUE"""),40)</f>
        <v>40</v>
      </c>
      <c r="E1339" s="76">
        <f ca="1">IFERROR(__xludf.DUMMYFUNCTION("""COMPUTED_VALUE"""),130)</f>
        <v>130</v>
      </c>
      <c r="F1339" s="77">
        <f ca="1">IFERROR(__xludf.DUMMYFUNCTION("""COMPUTED_VALUE"""),10140085)</f>
        <v>10140085</v>
      </c>
      <c r="G1339" s="77" t="str">
        <f t="shared" ca="1" si="5"/>
        <v>si</v>
      </c>
    </row>
    <row r="1340" spans="1:7" ht="12.75" x14ac:dyDescent="0.2">
      <c r="A1340" s="62">
        <f ca="1">IFERROR(__xludf.DUMMYFUNCTION("""COMPUTED_VALUE"""),10080369)</f>
        <v>10080369</v>
      </c>
      <c r="B1340" s="62" t="str">
        <f ca="1">IFERROR(__xludf.DUMMYFUNCTION("""COMPUTED_VALUE"""),"Camara Frontal  P30 ")</f>
        <v xml:space="preserve">Camara Frontal  P30 </v>
      </c>
      <c r="C1340" s="75">
        <f ca="1">IFERROR(__xludf.DUMMYFUNCTION("""COMPUTED_VALUE"""),100)</f>
        <v>100</v>
      </c>
      <c r="D1340" s="75">
        <f ca="1">IFERROR(__xludf.DUMMYFUNCTION("""COMPUTED_VALUE"""),50)</f>
        <v>50</v>
      </c>
      <c r="E1340" s="76">
        <f ca="1">IFERROR(__xludf.DUMMYFUNCTION("""COMPUTED_VALUE"""),150)</f>
        <v>150</v>
      </c>
      <c r="F1340" s="77">
        <f ca="1">IFERROR(__xludf.DUMMYFUNCTION("""COMPUTED_VALUE"""),10080369)</f>
        <v>10080369</v>
      </c>
      <c r="G1340" s="77" t="str">
        <f t="shared" ca="1" si="5"/>
        <v>si</v>
      </c>
    </row>
    <row r="1341" spans="1:7" ht="12.75" x14ac:dyDescent="0.2">
      <c r="A1341" s="62">
        <f ca="1">IFERROR(__xludf.DUMMYFUNCTION("""COMPUTED_VALUE"""),10080370)</f>
        <v>10080370</v>
      </c>
      <c r="B1341" s="62" t="str">
        <f ca="1">IFERROR(__xludf.DUMMYFUNCTION("""COMPUTED_VALUE"""),"Camara Frontal  P30  Pro")</f>
        <v>Camara Frontal  P30  Pro</v>
      </c>
      <c r="C1341" s="75">
        <f ca="1">IFERROR(__xludf.DUMMYFUNCTION("""COMPUTED_VALUE"""),100)</f>
        <v>100</v>
      </c>
      <c r="D1341" s="75">
        <f ca="1">IFERROR(__xludf.DUMMYFUNCTION("""COMPUTED_VALUE"""),50)</f>
        <v>50</v>
      </c>
      <c r="E1341" s="76">
        <f ca="1">IFERROR(__xludf.DUMMYFUNCTION("""COMPUTED_VALUE"""),150)</f>
        <v>150</v>
      </c>
      <c r="F1341" s="77">
        <f ca="1">IFERROR(__xludf.DUMMYFUNCTION("""COMPUTED_VALUE"""),10080370)</f>
        <v>10080370</v>
      </c>
      <c r="G1341" s="77" t="str">
        <f t="shared" ca="1" si="5"/>
        <v>si</v>
      </c>
    </row>
    <row r="1342" spans="1:7" ht="12.75" x14ac:dyDescent="0.2">
      <c r="A1342" s="62">
        <f ca="1">IFERROR(__xludf.DUMMYFUNCTION("""COMPUTED_VALUE"""),10080371)</f>
        <v>10080371</v>
      </c>
      <c r="B1342" s="62" t="str">
        <f ca="1">IFERROR(__xludf.DUMMYFUNCTION("""COMPUTED_VALUE"""),"Camara Frontal  Iphone 13")</f>
        <v>Camara Frontal  Iphone 13</v>
      </c>
      <c r="C1342" s="75">
        <f ca="1">IFERROR(__xludf.DUMMYFUNCTION("""COMPUTED_VALUE"""),150)</f>
        <v>150</v>
      </c>
      <c r="D1342" s="75">
        <f ca="1">IFERROR(__xludf.DUMMYFUNCTION("""COMPUTED_VALUE"""),50)</f>
        <v>50</v>
      </c>
      <c r="E1342" s="76">
        <f ca="1">IFERROR(__xludf.DUMMYFUNCTION("""COMPUTED_VALUE"""),200)</f>
        <v>200</v>
      </c>
      <c r="F1342" s="77">
        <f ca="1">IFERROR(__xludf.DUMMYFUNCTION("""COMPUTED_VALUE"""),10080371)</f>
        <v>10080371</v>
      </c>
      <c r="G1342" s="77" t="str">
        <f t="shared" ca="1" si="5"/>
        <v>si</v>
      </c>
    </row>
    <row r="1343" spans="1:7" ht="12.75" x14ac:dyDescent="0.2">
      <c r="A1343" s="62">
        <f ca="1">IFERROR(__xludf.DUMMYFUNCTION("""COMPUTED_VALUE"""),10080372)</f>
        <v>10080372</v>
      </c>
      <c r="B1343" s="62" t="str">
        <f ca="1">IFERROR(__xludf.DUMMYFUNCTION("""COMPUTED_VALUE"""),"Camara Frontal  Iphone 13 Pro / Iphone 13 pro max")</f>
        <v>Camara Frontal  Iphone 13 Pro / Iphone 13 pro max</v>
      </c>
      <c r="C1343" s="75">
        <f ca="1">IFERROR(__xludf.DUMMYFUNCTION("""COMPUTED_VALUE"""),200)</f>
        <v>200</v>
      </c>
      <c r="D1343" s="75">
        <f ca="1">IFERROR(__xludf.DUMMYFUNCTION("""COMPUTED_VALUE"""),50)</f>
        <v>50</v>
      </c>
      <c r="E1343" s="76">
        <f ca="1">IFERROR(__xludf.DUMMYFUNCTION("""COMPUTED_VALUE"""),250)</f>
        <v>250</v>
      </c>
      <c r="F1343" s="77">
        <f ca="1">IFERROR(__xludf.DUMMYFUNCTION("""COMPUTED_VALUE"""),10080372)</f>
        <v>10080372</v>
      </c>
      <c r="G1343" s="77" t="str">
        <f t="shared" ca="1" si="5"/>
        <v>si</v>
      </c>
    </row>
    <row r="1344" spans="1:7" ht="12.75" x14ac:dyDescent="0.2">
      <c r="A1344" s="62"/>
      <c r="B1344" s="62"/>
      <c r="C1344" s="75">
        <f ca="1">IFERROR(__xludf.DUMMYFUNCTION("""COMPUTED_VALUE"""),0)</f>
        <v>0</v>
      </c>
      <c r="D1344" s="75">
        <f ca="1">IFERROR(__xludf.DUMMYFUNCTION("""COMPUTED_VALUE"""),0)</f>
        <v>0</v>
      </c>
      <c r="E1344" s="76">
        <f ca="1">IFERROR(__xludf.DUMMYFUNCTION("""COMPUTED_VALUE"""),0)</f>
        <v>0</v>
      </c>
      <c r="F1344" s="77"/>
      <c r="G1344" s="77" t="str">
        <f t="shared" si="5"/>
        <v>si</v>
      </c>
    </row>
    <row r="1345" spans="1:7" ht="12.75" x14ac:dyDescent="0.2">
      <c r="A1345" s="62">
        <f ca="1">IFERROR(__xludf.DUMMYFUNCTION("""COMPUTED_VALUE"""),10140058)</f>
        <v>10140058</v>
      </c>
      <c r="B1345" s="62" t="str">
        <f ca="1">IFERROR(__xludf.DUMMYFUNCTION("""COMPUTED_VALUE"""),"Camara Trasera Iphone 13 Pro  / Iphone 13 pro max")</f>
        <v>Camara Trasera Iphone 13 Pro  / Iphone 13 pro max</v>
      </c>
      <c r="C1345" s="75">
        <f ca="1">IFERROR(__xludf.DUMMYFUNCTION("""COMPUTED_VALUE"""),390)</f>
        <v>390</v>
      </c>
      <c r="D1345" s="75">
        <f ca="1">IFERROR(__xludf.DUMMYFUNCTION("""COMPUTED_VALUE"""),50)</f>
        <v>50</v>
      </c>
      <c r="E1345" s="76">
        <f ca="1">IFERROR(__xludf.DUMMYFUNCTION("""COMPUTED_VALUE"""),440)</f>
        <v>440</v>
      </c>
      <c r="F1345" s="77">
        <f ca="1">IFERROR(__xludf.DUMMYFUNCTION("""COMPUTED_VALUE"""),10140058)</f>
        <v>10140058</v>
      </c>
      <c r="G1345" s="77" t="str">
        <f t="shared" ca="1" si="5"/>
        <v>si</v>
      </c>
    </row>
    <row r="1346" spans="1:7" ht="12.75" x14ac:dyDescent="0.2">
      <c r="A1346" s="62">
        <f ca="1">IFERROR(__xludf.DUMMYFUNCTION("""COMPUTED_VALUE"""),10160098)</f>
        <v>10160098</v>
      </c>
      <c r="B1346" s="62" t="str">
        <f ca="1">IFERROR(__xludf.DUMMYFUNCTION("""COMPUTED_VALUE"""),"Camara Trasera Iphone 6G")</f>
        <v>Camara Trasera Iphone 6G</v>
      </c>
      <c r="C1346" s="75">
        <f ca="1">IFERROR(__xludf.DUMMYFUNCTION("""COMPUTED_VALUE"""),40)</f>
        <v>40</v>
      </c>
      <c r="D1346" s="75">
        <f ca="1">IFERROR(__xludf.DUMMYFUNCTION("""COMPUTED_VALUE"""),50)</f>
        <v>50</v>
      </c>
      <c r="E1346" s="76">
        <f ca="1">IFERROR(__xludf.DUMMYFUNCTION("""COMPUTED_VALUE"""),90)</f>
        <v>90</v>
      </c>
      <c r="F1346" s="77">
        <f ca="1">IFERROR(__xludf.DUMMYFUNCTION("""COMPUTED_VALUE"""),10160098)</f>
        <v>10160098</v>
      </c>
      <c r="G1346" s="77" t="str">
        <f t="shared" ca="1" si="5"/>
        <v>si</v>
      </c>
    </row>
    <row r="1347" spans="1:7" ht="12.75" x14ac:dyDescent="0.2">
      <c r="A1347" s="62">
        <f ca="1">IFERROR(__xludf.DUMMYFUNCTION("""COMPUTED_VALUE"""),10160099)</f>
        <v>10160099</v>
      </c>
      <c r="B1347" s="62" t="str">
        <f ca="1">IFERROR(__xludf.DUMMYFUNCTION("""COMPUTED_VALUE"""),"Camara Trasera Iphone 6P")</f>
        <v>Camara Trasera Iphone 6P</v>
      </c>
      <c r="C1347" s="75">
        <f ca="1">IFERROR(__xludf.DUMMYFUNCTION("""COMPUTED_VALUE"""),40)</f>
        <v>40</v>
      </c>
      <c r="D1347" s="75">
        <f ca="1">IFERROR(__xludf.DUMMYFUNCTION("""COMPUTED_VALUE"""),50)</f>
        <v>50</v>
      </c>
      <c r="E1347" s="76">
        <f ca="1">IFERROR(__xludf.DUMMYFUNCTION("""COMPUTED_VALUE"""),90)</f>
        <v>90</v>
      </c>
      <c r="F1347" s="77">
        <f ca="1">IFERROR(__xludf.DUMMYFUNCTION("""COMPUTED_VALUE"""),10160099)</f>
        <v>10160099</v>
      </c>
      <c r="G1347" s="77" t="str">
        <f t="shared" ca="1" si="5"/>
        <v>si</v>
      </c>
    </row>
    <row r="1348" spans="1:7" ht="12.75" x14ac:dyDescent="0.2">
      <c r="A1348" s="62">
        <f ca="1">IFERROR(__xludf.DUMMYFUNCTION("""COMPUTED_VALUE"""),10160100)</f>
        <v>10160100</v>
      </c>
      <c r="B1348" s="62" t="str">
        <f ca="1">IFERROR(__xludf.DUMMYFUNCTION("""COMPUTED_VALUE"""),"Camara Trasera Iphone 6S")</f>
        <v>Camara Trasera Iphone 6S</v>
      </c>
      <c r="C1348" s="75">
        <f ca="1">IFERROR(__xludf.DUMMYFUNCTION("""COMPUTED_VALUE"""),40)</f>
        <v>40</v>
      </c>
      <c r="D1348" s="75">
        <f ca="1">IFERROR(__xludf.DUMMYFUNCTION("""COMPUTED_VALUE"""),50)</f>
        <v>50</v>
      </c>
      <c r="E1348" s="76">
        <f ca="1">IFERROR(__xludf.DUMMYFUNCTION("""COMPUTED_VALUE"""),90)</f>
        <v>90</v>
      </c>
      <c r="F1348" s="77">
        <f ca="1">IFERROR(__xludf.DUMMYFUNCTION("""COMPUTED_VALUE"""),10160100)</f>
        <v>10160100</v>
      </c>
      <c r="G1348" s="77" t="str">
        <f t="shared" ca="1" si="5"/>
        <v>si</v>
      </c>
    </row>
    <row r="1349" spans="1:7" ht="12.75" x14ac:dyDescent="0.2">
      <c r="A1349" s="62">
        <f ca="1">IFERROR(__xludf.DUMMYFUNCTION("""COMPUTED_VALUE"""),10160101)</f>
        <v>10160101</v>
      </c>
      <c r="B1349" s="62" t="str">
        <f ca="1">IFERROR(__xludf.DUMMYFUNCTION("""COMPUTED_VALUE"""),"Camara Trasera Iphone 6SP")</f>
        <v>Camara Trasera Iphone 6SP</v>
      </c>
      <c r="C1349" s="75">
        <f ca="1">IFERROR(__xludf.DUMMYFUNCTION("""COMPUTED_VALUE"""),40)</f>
        <v>40</v>
      </c>
      <c r="D1349" s="75">
        <f ca="1">IFERROR(__xludf.DUMMYFUNCTION("""COMPUTED_VALUE"""),50)</f>
        <v>50</v>
      </c>
      <c r="E1349" s="76">
        <f ca="1">IFERROR(__xludf.DUMMYFUNCTION("""COMPUTED_VALUE"""),90)</f>
        <v>90</v>
      </c>
      <c r="F1349" s="77">
        <f ca="1">IFERROR(__xludf.DUMMYFUNCTION("""COMPUTED_VALUE"""),10160101)</f>
        <v>10160101</v>
      </c>
      <c r="G1349" s="77" t="str">
        <f t="shared" ca="1" si="5"/>
        <v>si</v>
      </c>
    </row>
    <row r="1350" spans="1:7" ht="12.75" x14ac:dyDescent="0.2">
      <c r="A1350" s="62">
        <f ca="1">IFERROR(__xludf.DUMMYFUNCTION("""COMPUTED_VALUE"""),10010280)</f>
        <v>10010280</v>
      </c>
      <c r="B1350" s="62" t="str">
        <f ca="1">IFERROR(__xludf.DUMMYFUNCTION("""COMPUTED_VALUE"""),"Camara Trasera Iphone 7G")</f>
        <v>Camara Trasera Iphone 7G</v>
      </c>
      <c r="C1350" s="75">
        <f ca="1">IFERROR(__xludf.DUMMYFUNCTION("""COMPUTED_VALUE"""),90)</f>
        <v>90</v>
      </c>
      <c r="D1350" s="75">
        <f ca="1">IFERROR(__xludf.DUMMYFUNCTION("""COMPUTED_VALUE"""),50)</f>
        <v>50</v>
      </c>
      <c r="E1350" s="76">
        <f ca="1">IFERROR(__xludf.DUMMYFUNCTION("""COMPUTED_VALUE"""),140)</f>
        <v>140</v>
      </c>
      <c r="F1350" s="77">
        <f ca="1">IFERROR(__xludf.DUMMYFUNCTION("""COMPUTED_VALUE"""),10010280)</f>
        <v>10010280</v>
      </c>
      <c r="G1350" s="77" t="str">
        <f t="shared" ca="1" si="5"/>
        <v>si</v>
      </c>
    </row>
    <row r="1351" spans="1:7" ht="12.75" x14ac:dyDescent="0.2">
      <c r="A1351" s="62">
        <f ca="1">IFERROR(__xludf.DUMMYFUNCTION("""COMPUTED_VALUE"""),10160103)</f>
        <v>10160103</v>
      </c>
      <c r="B1351" s="62" t="str">
        <f ca="1">IFERROR(__xludf.DUMMYFUNCTION("""COMPUTED_VALUE"""),"Camara Trasera Iphone 7P")</f>
        <v>Camara Trasera Iphone 7P</v>
      </c>
      <c r="C1351" s="75">
        <f ca="1">IFERROR(__xludf.DUMMYFUNCTION("""COMPUTED_VALUE"""),90)</f>
        <v>90</v>
      </c>
      <c r="D1351" s="75">
        <f ca="1">IFERROR(__xludf.DUMMYFUNCTION("""COMPUTED_VALUE"""),50)</f>
        <v>50</v>
      </c>
      <c r="E1351" s="76">
        <f ca="1">IFERROR(__xludf.DUMMYFUNCTION("""COMPUTED_VALUE"""),140)</f>
        <v>140</v>
      </c>
      <c r="F1351" s="77">
        <f ca="1">IFERROR(__xludf.DUMMYFUNCTION("""COMPUTED_VALUE"""),10160103)</f>
        <v>10160103</v>
      </c>
      <c r="G1351" s="77" t="str">
        <f t="shared" ca="1" si="5"/>
        <v>si</v>
      </c>
    </row>
    <row r="1352" spans="1:7" ht="12.75" x14ac:dyDescent="0.2">
      <c r="A1352" s="62">
        <f ca="1">IFERROR(__xludf.DUMMYFUNCTION("""COMPUTED_VALUE"""),10160104)</f>
        <v>10160104</v>
      </c>
      <c r="B1352" s="62" t="str">
        <f ca="1">IFERROR(__xludf.DUMMYFUNCTION("""COMPUTED_VALUE"""),"Camara Trasera Iphone 8G")</f>
        <v>Camara Trasera Iphone 8G</v>
      </c>
      <c r="C1352" s="75">
        <f ca="1">IFERROR(__xludf.DUMMYFUNCTION("""COMPUTED_VALUE"""),140)</f>
        <v>140</v>
      </c>
      <c r="D1352" s="75">
        <f ca="1">IFERROR(__xludf.DUMMYFUNCTION("""COMPUTED_VALUE"""),50)</f>
        <v>50</v>
      </c>
      <c r="E1352" s="76">
        <f ca="1">IFERROR(__xludf.DUMMYFUNCTION("""COMPUTED_VALUE"""),190)</f>
        <v>190</v>
      </c>
      <c r="F1352" s="77">
        <f ca="1">IFERROR(__xludf.DUMMYFUNCTION("""COMPUTED_VALUE"""),10160104)</f>
        <v>10160104</v>
      </c>
      <c r="G1352" s="77" t="str">
        <f t="shared" ca="1" si="5"/>
        <v>si</v>
      </c>
    </row>
    <row r="1353" spans="1:7" ht="12.75" x14ac:dyDescent="0.2">
      <c r="A1353" s="62">
        <f ca="1">IFERROR(__xludf.DUMMYFUNCTION("""COMPUTED_VALUE"""),10160105)</f>
        <v>10160105</v>
      </c>
      <c r="B1353" s="62" t="str">
        <f ca="1">IFERROR(__xludf.DUMMYFUNCTION("""COMPUTED_VALUE"""),"Camara Trasera Iphone 8P")</f>
        <v>Camara Trasera Iphone 8P</v>
      </c>
      <c r="C1353" s="75">
        <f ca="1">IFERROR(__xludf.DUMMYFUNCTION("""COMPUTED_VALUE"""),140)</f>
        <v>140</v>
      </c>
      <c r="D1353" s="75">
        <f ca="1">IFERROR(__xludf.DUMMYFUNCTION("""COMPUTED_VALUE"""),50)</f>
        <v>50</v>
      </c>
      <c r="E1353" s="76">
        <f ca="1">IFERROR(__xludf.DUMMYFUNCTION("""COMPUTED_VALUE"""),190)</f>
        <v>190</v>
      </c>
      <c r="F1353" s="77">
        <f ca="1">IFERROR(__xludf.DUMMYFUNCTION("""COMPUTED_VALUE"""),10160105)</f>
        <v>10160105</v>
      </c>
      <c r="G1353" s="77" t="str">
        <f t="shared" ca="1" si="5"/>
        <v>si</v>
      </c>
    </row>
    <row r="1354" spans="1:7" ht="12.75" x14ac:dyDescent="0.2">
      <c r="A1354" s="62">
        <f ca="1">IFERROR(__xludf.DUMMYFUNCTION("""COMPUTED_VALUE"""),10140013)</f>
        <v>10140013</v>
      </c>
      <c r="B1354" s="62" t="str">
        <f ca="1">IFERROR(__xludf.DUMMYFUNCTION("""COMPUTED_VALUE"""),"Camara Trasera Iphone X")</f>
        <v>Camara Trasera Iphone X</v>
      </c>
      <c r="C1354" s="75">
        <f ca="1">IFERROR(__xludf.DUMMYFUNCTION("""COMPUTED_VALUE"""),190)</f>
        <v>190</v>
      </c>
      <c r="D1354" s="75">
        <f ca="1">IFERROR(__xludf.DUMMYFUNCTION("""COMPUTED_VALUE"""),50)</f>
        <v>50</v>
      </c>
      <c r="E1354" s="76">
        <f ca="1">IFERROR(__xludf.DUMMYFUNCTION("""COMPUTED_VALUE"""),240)</f>
        <v>240</v>
      </c>
      <c r="F1354" s="77">
        <f ca="1">IFERROR(__xludf.DUMMYFUNCTION("""COMPUTED_VALUE"""),10140013)</f>
        <v>10140013</v>
      </c>
      <c r="G1354" s="77" t="str">
        <f t="shared" ca="1" si="5"/>
        <v>si</v>
      </c>
    </row>
    <row r="1355" spans="1:7" ht="12.75" x14ac:dyDescent="0.2">
      <c r="A1355" s="62">
        <f ca="1">IFERROR(__xludf.DUMMYFUNCTION("""COMPUTED_VALUE"""),10140014)</f>
        <v>10140014</v>
      </c>
      <c r="B1355" s="62" t="str">
        <f ca="1">IFERROR(__xludf.DUMMYFUNCTION("""COMPUTED_VALUE"""),"Camara Trasera Iphone Xs - Xs Max")</f>
        <v>Camara Trasera Iphone Xs - Xs Max</v>
      </c>
      <c r="C1355" s="75">
        <f ca="1">IFERROR(__xludf.DUMMYFUNCTION("""COMPUTED_VALUE"""),190)</f>
        <v>190</v>
      </c>
      <c r="D1355" s="75">
        <f ca="1">IFERROR(__xludf.DUMMYFUNCTION("""COMPUTED_VALUE"""),50)</f>
        <v>50</v>
      </c>
      <c r="E1355" s="76">
        <f ca="1">IFERROR(__xludf.DUMMYFUNCTION("""COMPUTED_VALUE"""),240)</f>
        <v>240</v>
      </c>
      <c r="F1355" s="77">
        <f ca="1">IFERROR(__xludf.DUMMYFUNCTION("""COMPUTED_VALUE"""),10140014)</f>
        <v>10140014</v>
      </c>
      <c r="G1355" s="77" t="str">
        <f t="shared" ca="1" si="5"/>
        <v>si</v>
      </c>
    </row>
    <row r="1356" spans="1:7" ht="12.75" x14ac:dyDescent="0.2">
      <c r="A1356" s="62">
        <f ca="1">IFERROR(__xludf.DUMMYFUNCTION("""COMPUTED_VALUE"""),10140015)</f>
        <v>10140015</v>
      </c>
      <c r="B1356" s="62" t="str">
        <f ca="1">IFERROR(__xludf.DUMMYFUNCTION("""COMPUTED_VALUE"""),"Camara Trasera Iphone Xr")</f>
        <v>Camara Trasera Iphone Xr</v>
      </c>
      <c r="C1356" s="75">
        <f ca="1">IFERROR(__xludf.DUMMYFUNCTION("""COMPUTED_VALUE"""),190)</f>
        <v>190</v>
      </c>
      <c r="D1356" s="75">
        <f ca="1">IFERROR(__xludf.DUMMYFUNCTION("""COMPUTED_VALUE"""),50)</f>
        <v>50</v>
      </c>
      <c r="E1356" s="76">
        <f ca="1">IFERROR(__xludf.DUMMYFUNCTION("""COMPUTED_VALUE"""),240)</f>
        <v>240</v>
      </c>
      <c r="F1356" s="77">
        <f ca="1">IFERROR(__xludf.DUMMYFUNCTION("""COMPUTED_VALUE"""),10140015)</f>
        <v>10140015</v>
      </c>
      <c r="G1356" s="77" t="str">
        <f t="shared" ca="1" si="5"/>
        <v>si</v>
      </c>
    </row>
    <row r="1357" spans="1:7" ht="12.75" x14ac:dyDescent="0.2">
      <c r="A1357" s="62">
        <f ca="1">IFERROR(__xludf.DUMMYFUNCTION("""COMPUTED_VALUE"""),10140016)</f>
        <v>10140016</v>
      </c>
      <c r="B1357" s="62" t="str">
        <f ca="1">IFERROR(__xludf.DUMMYFUNCTION("""COMPUTED_VALUE"""),"Camara Trasera Iphone Xs max")</f>
        <v>Camara Trasera Iphone Xs max</v>
      </c>
      <c r="C1357" s="75">
        <f ca="1">IFERROR(__xludf.DUMMYFUNCTION("""COMPUTED_VALUE"""),190)</f>
        <v>190</v>
      </c>
      <c r="D1357" s="75">
        <f ca="1">IFERROR(__xludf.DUMMYFUNCTION("""COMPUTED_VALUE"""),50)</f>
        <v>50</v>
      </c>
      <c r="E1357" s="76">
        <f ca="1">IFERROR(__xludf.DUMMYFUNCTION("""COMPUTED_VALUE"""),240)</f>
        <v>240</v>
      </c>
      <c r="F1357" s="77">
        <f ca="1">IFERROR(__xludf.DUMMYFUNCTION("""COMPUTED_VALUE"""),10140016)</f>
        <v>10140016</v>
      </c>
      <c r="G1357" s="77" t="str">
        <f t="shared" ca="1" si="5"/>
        <v>si</v>
      </c>
    </row>
    <row r="1358" spans="1:7" ht="12.75" x14ac:dyDescent="0.2">
      <c r="A1358" s="62">
        <f ca="1">IFERROR(__xludf.DUMMYFUNCTION("""COMPUTED_VALUE"""),10140017)</f>
        <v>10140017</v>
      </c>
      <c r="B1358" s="62" t="str">
        <f ca="1">IFERROR(__xludf.DUMMYFUNCTION("""COMPUTED_VALUE"""),"Camara Trasera Iphone 11")</f>
        <v>Camara Trasera Iphone 11</v>
      </c>
      <c r="C1358" s="75">
        <f ca="1">IFERROR(__xludf.DUMMYFUNCTION("""COMPUTED_VALUE"""),240)</f>
        <v>240</v>
      </c>
      <c r="D1358" s="75">
        <f ca="1">IFERROR(__xludf.DUMMYFUNCTION("""COMPUTED_VALUE"""),50)</f>
        <v>50</v>
      </c>
      <c r="E1358" s="76">
        <f ca="1">IFERROR(__xludf.DUMMYFUNCTION("""COMPUTED_VALUE"""),290)</f>
        <v>290</v>
      </c>
      <c r="F1358" s="77">
        <f ca="1">IFERROR(__xludf.DUMMYFUNCTION("""COMPUTED_VALUE"""),10140017)</f>
        <v>10140017</v>
      </c>
      <c r="G1358" s="77" t="str">
        <f t="shared" ca="1" si="5"/>
        <v>si</v>
      </c>
    </row>
    <row r="1359" spans="1:7" ht="12.75" x14ac:dyDescent="0.2">
      <c r="A1359" s="62">
        <f ca="1">IFERROR(__xludf.DUMMYFUNCTION("""COMPUTED_VALUE"""),10140018)</f>
        <v>10140018</v>
      </c>
      <c r="B1359" s="62" t="str">
        <f ca="1">IFERROR(__xludf.DUMMYFUNCTION("""COMPUTED_VALUE"""),"Camara Trasera Iphone 11 Pro - 11 Pro Max")</f>
        <v>Camara Trasera Iphone 11 Pro - 11 Pro Max</v>
      </c>
      <c r="C1359" s="75">
        <f ca="1">IFERROR(__xludf.DUMMYFUNCTION("""COMPUTED_VALUE"""),290)</f>
        <v>290</v>
      </c>
      <c r="D1359" s="75">
        <f ca="1">IFERROR(__xludf.DUMMYFUNCTION("""COMPUTED_VALUE"""),50)</f>
        <v>50</v>
      </c>
      <c r="E1359" s="76">
        <f ca="1">IFERROR(__xludf.DUMMYFUNCTION("""COMPUTED_VALUE"""),340)</f>
        <v>340</v>
      </c>
      <c r="F1359" s="77">
        <f ca="1">IFERROR(__xludf.DUMMYFUNCTION("""COMPUTED_VALUE"""),10140018)</f>
        <v>10140018</v>
      </c>
      <c r="G1359" s="77" t="str">
        <f t="shared" ca="1" si="5"/>
        <v>si</v>
      </c>
    </row>
    <row r="1360" spans="1:7" ht="12.75" x14ac:dyDescent="0.2">
      <c r="A1360" s="62">
        <f ca="1">IFERROR(__xludf.DUMMYFUNCTION("""COMPUTED_VALUE"""),10140019)</f>
        <v>10140019</v>
      </c>
      <c r="B1360" s="62" t="str">
        <f ca="1">IFERROR(__xludf.DUMMYFUNCTION("""COMPUTED_VALUE"""),"Camara Trasera Iphone 11 Pro max")</f>
        <v>Camara Trasera Iphone 11 Pro max</v>
      </c>
      <c r="C1360" s="75">
        <f ca="1">IFERROR(__xludf.DUMMYFUNCTION("""COMPUTED_VALUE"""),290)</f>
        <v>290</v>
      </c>
      <c r="D1360" s="75">
        <f ca="1">IFERROR(__xludf.DUMMYFUNCTION("""COMPUTED_VALUE"""),50)</f>
        <v>50</v>
      </c>
      <c r="E1360" s="76">
        <f ca="1">IFERROR(__xludf.DUMMYFUNCTION("""COMPUTED_VALUE"""),340)</f>
        <v>340</v>
      </c>
      <c r="F1360" s="77">
        <f ca="1">IFERROR(__xludf.DUMMYFUNCTION("""COMPUTED_VALUE"""),10140019)</f>
        <v>10140019</v>
      </c>
      <c r="G1360" s="77" t="str">
        <f t="shared" ca="1" si="5"/>
        <v>si</v>
      </c>
    </row>
    <row r="1361" spans="1:7" ht="12.75" x14ac:dyDescent="0.2">
      <c r="A1361" s="62">
        <f ca="1">IFERROR(__xludf.DUMMYFUNCTION("""COMPUTED_VALUE"""),10140020)</f>
        <v>10140020</v>
      </c>
      <c r="B1361" s="62" t="str">
        <f ca="1">IFERROR(__xludf.DUMMYFUNCTION("""COMPUTED_VALUE"""),"Camara Trasera Iphone 12")</f>
        <v>Camara Trasera Iphone 12</v>
      </c>
      <c r="C1361" s="75">
        <f ca="1">IFERROR(__xludf.DUMMYFUNCTION("""COMPUTED_VALUE"""),390)</f>
        <v>390</v>
      </c>
      <c r="D1361" s="75">
        <f ca="1">IFERROR(__xludf.DUMMYFUNCTION("""COMPUTED_VALUE"""),50)</f>
        <v>50</v>
      </c>
      <c r="E1361" s="76">
        <f ca="1">IFERROR(__xludf.DUMMYFUNCTION("""COMPUTED_VALUE"""),440)</f>
        <v>440</v>
      </c>
      <c r="F1361" s="77">
        <f ca="1">IFERROR(__xludf.DUMMYFUNCTION("""COMPUTED_VALUE"""),10140020)</f>
        <v>10140020</v>
      </c>
      <c r="G1361" s="77" t="str">
        <f t="shared" ca="1" si="5"/>
        <v>si</v>
      </c>
    </row>
    <row r="1362" spans="1:7" ht="12.75" x14ac:dyDescent="0.2">
      <c r="A1362" s="62">
        <f ca="1">IFERROR(__xludf.DUMMYFUNCTION("""COMPUTED_VALUE"""),10160155)</f>
        <v>10160155</v>
      </c>
      <c r="B1362" s="62" t="str">
        <f ca="1">IFERROR(__xludf.DUMMYFUNCTION("""COMPUTED_VALUE"""),"Camara Trasera Iphone 12 Mini")</f>
        <v>Camara Trasera Iphone 12 Mini</v>
      </c>
      <c r="C1362" s="75">
        <f ca="1">IFERROR(__xludf.DUMMYFUNCTION("""COMPUTED_VALUE"""),340)</f>
        <v>340</v>
      </c>
      <c r="D1362" s="75">
        <f ca="1">IFERROR(__xludf.DUMMYFUNCTION("""COMPUTED_VALUE"""),50)</f>
        <v>50</v>
      </c>
      <c r="E1362" s="76">
        <f ca="1">IFERROR(__xludf.DUMMYFUNCTION("""COMPUTED_VALUE"""),390)</f>
        <v>390</v>
      </c>
      <c r="F1362" s="77">
        <f ca="1">IFERROR(__xludf.DUMMYFUNCTION("""COMPUTED_VALUE"""),10160155)</f>
        <v>10160155</v>
      </c>
      <c r="G1362" s="77" t="str">
        <f t="shared" ca="1" si="5"/>
        <v>si</v>
      </c>
    </row>
    <row r="1363" spans="1:7" ht="12.75" x14ac:dyDescent="0.2">
      <c r="A1363" s="62">
        <f ca="1">IFERROR(__xludf.DUMMYFUNCTION("""COMPUTED_VALUE"""),10140021)</f>
        <v>10140021</v>
      </c>
      <c r="B1363" s="62" t="str">
        <f ca="1">IFERROR(__xludf.DUMMYFUNCTION("""COMPUTED_VALUE"""),"Camara Trasera Iphone 12 Pro ")</f>
        <v xml:space="preserve">Camara Trasera Iphone 12 Pro </v>
      </c>
      <c r="C1363" s="75">
        <f ca="1">IFERROR(__xludf.DUMMYFUNCTION("""COMPUTED_VALUE"""),390)</f>
        <v>390</v>
      </c>
      <c r="D1363" s="75">
        <f ca="1">IFERROR(__xludf.DUMMYFUNCTION("""COMPUTED_VALUE"""),50)</f>
        <v>50</v>
      </c>
      <c r="E1363" s="76">
        <f ca="1">IFERROR(__xludf.DUMMYFUNCTION("""COMPUTED_VALUE"""),440)</f>
        <v>440</v>
      </c>
      <c r="F1363" s="77">
        <f ca="1">IFERROR(__xludf.DUMMYFUNCTION("""COMPUTED_VALUE"""),10140021)</f>
        <v>10140021</v>
      </c>
      <c r="G1363" s="77" t="str">
        <f t="shared" ca="1" si="5"/>
        <v>si</v>
      </c>
    </row>
    <row r="1364" spans="1:7" ht="12.75" x14ac:dyDescent="0.2">
      <c r="A1364" s="62">
        <f ca="1">IFERROR(__xludf.DUMMYFUNCTION("""COMPUTED_VALUE"""),10140022)</f>
        <v>10140022</v>
      </c>
      <c r="B1364" s="62" t="str">
        <f ca="1">IFERROR(__xludf.DUMMYFUNCTION("""COMPUTED_VALUE"""),"Camara Trasera Iphone 12 Pro max")</f>
        <v>Camara Trasera Iphone 12 Pro max</v>
      </c>
      <c r="C1364" s="75">
        <f ca="1">IFERROR(__xludf.DUMMYFUNCTION("""COMPUTED_VALUE"""),390)</f>
        <v>390</v>
      </c>
      <c r="D1364" s="75">
        <f ca="1">IFERROR(__xludf.DUMMYFUNCTION("""COMPUTED_VALUE"""),50)</f>
        <v>50</v>
      </c>
      <c r="E1364" s="76">
        <f ca="1">IFERROR(__xludf.DUMMYFUNCTION("""COMPUTED_VALUE"""),440)</f>
        <v>440</v>
      </c>
      <c r="F1364" s="77">
        <f ca="1">IFERROR(__xludf.DUMMYFUNCTION("""COMPUTED_VALUE"""),10140022)</f>
        <v>10140022</v>
      </c>
      <c r="G1364" s="77" t="str">
        <f t="shared" ca="1" si="5"/>
        <v>si</v>
      </c>
    </row>
    <row r="1365" spans="1:7" ht="12.75" x14ac:dyDescent="0.2">
      <c r="A1365" s="62">
        <f ca="1">IFERROR(__xludf.DUMMYFUNCTION("""COMPUTED_VALUE"""),10080094)</f>
        <v>10080094</v>
      </c>
      <c r="B1365" s="62" t="str">
        <f ca="1">IFERROR(__xludf.DUMMYFUNCTION("""COMPUTED_VALUE"""),"Camara Trasera Redmi  Note 8 Pro")</f>
        <v>Camara Trasera Redmi  Note 8 Pro</v>
      </c>
      <c r="C1365" s="75">
        <f ca="1">IFERROR(__xludf.DUMMYFUNCTION("""COMPUTED_VALUE"""),120)</f>
        <v>120</v>
      </c>
      <c r="D1365" s="75">
        <f ca="1">IFERROR(__xludf.DUMMYFUNCTION("""COMPUTED_VALUE"""),50)</f>
        <v>50</v>
      </c>
      <c r="E1365" s="76">
        <f ca="1">IFERROR(__xludf.DUMMYFUNCTION("""COMPUTED_VALUE"""),170)</f>
        <v>170</v>
      </c>
      <c r="F1365" s="77">
        <f ca="1">IFERROR(__xludf.DUMMYFUNCTION("""COMPUTED_VALUE"""),10080094)</f>
        <v>10080094</v>
      </c>
      <c r="G1365" s="77" t="str">
        <f t="shared" ca="1" si="5"/>
        <v>si</v>
      </c>
    </row>
    <row r="1366" spans="1:7" ht="12.75" x14ac:dyDescent="0.2">
      <c r="A1366" s="62">
        <f ca="1">IFERROR(__xludf.DUMMYFUNCTION("""COMPUTED_VALUE"""),10080089)</f>
        <v>10080089</v>
      </c>
      <c r="B1366" s="62" t="str">
        <f ca="1">IFERROR(__xludf.DUMMYFUNCTION("""COMPUTED_VALUE"""),"Camara Trasera Redmi  note 9 Kit Completo")</f>
        <v>Camara Trasera Redmi  note 9 Kit Completo</v>
      </c>
      <c r="C1366" s="75">
        <f ca="1">IFERROR(__xludf.DUMMYFUNCTION("""COMPUTED_VALUE"""),110)</f>
        <v>110</v>
      </c>
      <c r="D1366" s="75">
        <f ca="1">IFERROR(__xludf.DUMMYFUNCTION("""COMPUTED_VALUE"""),50)</f>
        <v>50</v>
      </c>
      <c r="E1366" s="76">
        <f ca="1">IFERROR(__xludf.DUMMYFUNCTION("""COMPUTED_VALUE"""),160)</f>
        <v>160</v>
      </c>
      <c r="F1366" s="77">
        <f ca="1">IFERROR(__xludf.DUMMYFUNCTION("""COMPUTED_VALUE"""),10080089)</f>
        <v>10080089</v>
      </c>
      <c r="G1366" s="77" t="str">
        <f t="shared" ca="1" si="5"/>
        <v>si</v>
      </c>
    </row>
    <row r="1367" spans="1:7" ht="12.75" x14ac:dyDescent="0.2">
      <c r="A1367" s="62">
        <f ca="1">IFERROR(__xludf.DUMMYFUNCTION("""COMPUTED_VALUE"""),10080087)</f>
        <v>10080087</v>
      </c>
      <c r="B1367" s="62" t="str">
        <f ca="1">IFERROR(__xludf.DUMMYFUNCTION("""COMPUTED_VALUE"""),"Camara Trasera Redmi 8/8A")</f>
        <v>Camara Trasera Redmi 8/8A</v>
      </c>
      <c r="C1367" s="75">
        <f ca="1">IFERROR(__xludf.DUMMYFUNCTION("""COMPUTED_VALUE"""),90)</f>
        <v>90</v>
      </c>
      <c r="D1367" s="75">
        <f ca="1">IFERROR(__xludf.DUMMYFUNCTION("""COMPUTED_VALUE"""),50)</f>
        <v>50</v>
      </c>
      <c r="E1367" s="76">
        <f ca="1">IFERROR(__xludf.DUMMYFUNCTION("""COMPUTED_VALUE"""),140)</f>
        <v>140</v>
      </c>
      <c r="F1367" s="77">
        <f ca="1">IFERROR(__xludf.DUMMYFUNCTION("""COMPUTED_VALUE"""),10080087)</f>
        <v>10080087</v>
      </c>
      <c r="G1367" s="77" t="str">
        <f t="shared" ca="1" si="5"/>
        <v>si</v>
      </c>
    </row>
    <row r="1368" spans="1:7" ht="12.75" x14ac:dyDescent="0.2">
      <c r="A1368" s="62">
        <f ca="1">IFERROR(__xludf.DUMMYFUNCTION("""COMPUTED_VALUE"""),10080086)</f>
        <v>10080086</v>
      </c>
      <c r="B1368" s="62" t="str">
        <f ca="1">IFERROR(__xludf.DUMMYFUNCTION("""COMPUTED_VALUE"""),"Camara Trasera Redmi 9")</f>
        <v>Camara Trasera Redmi 9</v>
      </c>
      <c r="C1368" s="75">
        <f ca="1">IFERROR(__xludf.DUMMYFUNCTION("""COMPUTED_VALUE"""),90)</f>
        <v>90</v>
      </c>
      <c r="D1368" s="75">
        <f ca="1">IFERROR(__xludf.DUMMYFUNCTION("""COMPUTED_VALUE"""),50)</f>
        <v>50</v>
      </c>
      <c r="E1368" s="76">
        <f ca="1">IFERROR(__xludf.DUMMYFUNCTION("""COMPUTED_VALUE"""),140)</f>
        <v>140</v>
      </c>
      <c r="F1368" s="77">
        <f ca="1">IFERROR(__xludf.DUMMYFUNCTION("""COMPUTED_VALUE"""),10080086)</f>
        <v>10080086</v>
      </c>
      <c r="G1368" s="77" t="str">
        <f t="shared" ca="1" si="5"/>
        <v>si</v>
      </c>
    </row>
    <row r="1369" spans="1:7" ht="12.75" x14ac:dyDescent="0.2">
      <c r="A1369" s="62">
        <f ca="1">IFERROR(__xludf.DUMMYFUNCTION("""COMPUTED_VALUE"""),10080088)</f>
        <v>10080088</v>
      </c>
      <c r="B1369" s="62" t="str">
        <f ca="1">IFERROR(__xludf.DUMMYFUNCTION("""COMPUTED_VALUE"""),"Camara Trasera Redmi 9A")</f>
        <v>Camara Trasera Redmi 9A</v>
      </c>
      <c r="C1369" s="75">
        <f ca="1">IFERROR(__xludf.DUMMYFUNCTION("""COMPUTED_VALUE"""),90)</f>
        <v>90</v>
      </c>
      <c r="D1369" s="75">
        <f ca="1">IFERROR(__xludf.DUMMYFUNCTION("""COMPUTED_VALUE"""),50)</f>
        <v>50</v>
      </c>
      <c r="E1369" s="76">
        <f ca="1">IFERROR(__xludf.DUMMYFUNCTION("""COMPUTED_VALUE"""),140)</f>
        <v>140</v>
      </c>
      <c r="F1369" s="77">
        <f ca="1">IFERROR(__xludf.DUMMYFUNCTION("""COMPUTED_VALUE"""),10080088)</f>
        <v>10080088</v>
      </c>
      <c r="G1369" s="77" t="str">
        <f t="shared" ca="1" si="5"/>
        <v>si</v>
      </c>
    </row>
    <row r="1370" spans="1:7" ht="12.75" x14ac:dyDescent="0.2">
      <c r="A1370" s="62">
        <f ca="1">IFERROR(__xludf.DUMMYFUNCTION("""COMPUTED_VALUE"""),10080095)</f>
        <v>10080095</v>
      </c>
      <c r="B1370" s="62" t="str">
        <f ca="1">IFERROR(__xludf.DUMMYFUNCTION("""COMPUTED_VALUE"""),"Camara Trasera Redmi Note 8")</f>
        <v>Camara Trasera Redmi Note 8</v>
      </c>
      <c r="C1370" s="75">
        <f ca="1">IFERROR(__xludf.DUMMYFUNCTION("""COMPUTED_VALUE"""),120)</f>
        <v>120</v>
      </c>
      <c r="D1370" s="75">
        <f ca="1">IFERROR(__xludf.DUMMYFUNCTION("""COMPUTED_VALUE"""),50)</f>
        <v>50</v>
      </c>
      <c r="E1370" s="76">
        <f ca="1">IFERROR(__xludf.DUMMYFUNCTION("""COMPUTED_VALUE"""),170)</f>
        <v>170</v>
      </c>
      <c r="F1370" s="77">
        <f ca="1">IFERROR(__xludf.DUMMYFUNCTION("""COMPUTED_VALUE"""),10080095)</f>
        <v>10080095</v>
      </c>
      <c r="G1370" s="77" t="str">
        <f t="shared" ca="1" si="5"/>
        <v>si</v>
      </c>
    </row>
    <row r="1371" spans="1:7" ht="12.75" x14ac:dyDescent="0.2">
      <c r="A1371" s="62">
        <f ca="1">IFERROR(__xludf.DUMMYFUNCTION("""COMPUTED_VALUE"""),10080149)</f>
        <v>10080149</v>
      </c>
      <c r="B1371" s="62" t="str">
        <f ca="1">IFERROR(__xludf.DUMMYFUNCTION("""COMPUTED_VALUE"""),"Camara Trasera Samsung A10 /  A105F")</f>
        <v>Camara Trasera Samsung A10 /  A105F</v>
      </c>
      <c r="C1371" s="75">
        <f ca="1">IFERROR(__xludf.DUMMYFUNCTION("""COMPUTED_VALUE"""),70)</f>
        <v>70</v>
      </c>
      <c r="D1371" s="75">
        <f ca="1">IFERROR(__xludf.DUMMYFUNCTION("""COMPUTED_VALUE"""),50)</f>
        <v>50</v>
      </c>
      <c r="E1371" s="76">
        <f ca="1">IFERROR(__xludf.DUMMYFUNCTION("""COMPUTED_VALUE"""),120)</f>
        <v>120</v>
      </c>
      <c r="F1371" s="77">
        <f ca="1">IFERROR(__xludf.DUMMYFUNCTION("""COMPUTED_VALUE"""),10080149)</f>
        <v>10080149</v>
      </c>
      <c r="G1371" s="77" t="str">
        <f t="shared" ca="1" si="5"/>
        <v>si</v>
      </c>
    </row>
    <row r="1372" spans="1:7" ht="12.75" x14ac:dyDescent="0.2">
      <c r="A1372" s="62">
        <f ca="1">IFERROR(__xludf.DUMMYFUNCTION("""COMPUTED_VALUE"""),10080073)</f>
        <v>10080073</v>
      </c>
      <c r="B1372" s="62" t="str">
        <f ca="1">IFERROR(__xludf.DUMMYFUNCTION("""COMPUTED_VALUE"""),"Camara Trasera Samsung A11")</f>
        <v>Camara Trasera Samsung A11</v>
      </c>
      <c r="C1372" s="75">
        <f ca="1">IFERROR(__xludf.DUMMYFUNCTION("""COMPUTED_VALUE"""),60)</f>
        <v>60</v>
      </c>
      <c r="D1372" s="75">
        <f ca="1">IFERROR(__xludf.DUMMYFUNCTION("""COMPUTED_VALUE"""),50)</f>
        <v>50</v>
      </c>
      <c r="E1372" s="76">
        <f ca="1">IFERROR(__xludf.DUMMYFUNCTION("""COMPUTED_VALUE"""),110)</f>
        <v>110</v>
      </c>
      <c r="F1372" s="77">
        <f ca="1">IFERROR(__xludf.DUMMYFUNCTION("""COMPUTED_VALUE"""),10080073)</f>
        <v>10080073</v>
      </c>
      <c r="G1372" s="77" t="str">
        <f t="shared" ca="1" si="5"/>
        <v>si</v>
      </c>
    </row>
    <row r="1373" spans="1:7" ht="12.75" x14ac:dyDescent="0.2">
      <c r="A1373" s="62">
        <f ca="1">IFERROR(__xludf.DUMMYFUNCTION("""COMPUTED_VALUE"""),10080150)</f>
        <v>10080150</v>
      </c>
      <c r="B1373" s="62" t="str">
        <f ca="1">IFERROR(__xludf.DUMMYFUNCTION("""COMPUTED_VALUE"""),"Camara Trasera Samsung A20 / A205F")</f>
        <v>Camara Trasera Samsung A20 / A205F</v>
      </c>
      <c r="C1373" s="75">
        <f ca="1">IFERROR(__xludf.DUMMYFUNCTION("""COMPUTED_VALUE"""),70)</f>
        <v>70</v>
      </c>
      <c r="D1373" s="75">
        <f ca="1">IFERROR(__xludf.DUMMYFUNCTION("""COMPUTED_VALUE"""),50)</f>
        <v>50</v>
      </c>
      <c r="E1373" s="76">
        <f ca="1">IFERROR(__xludf.DUMMYFUNCTION("""COMPUTED_VALUE"""),120)</f>
        <v>120</v>
      </c>
      <c r="F1373" s="77">
        <f ca="1">IFERROR(__xludf.DUMMYFUNCTION("""COMPUTED_VALUE"""),10080150)</f>
        <v>10080150</v>
      </c>
      <c r="G1373" s="77" t="str">
        <f t="shared" ca="1" si="5"/>
        <v>si</v>
      </c>
    </row>
    <row r="1374" spans="1:7" ht="12.75" x14ac:dyDescent="0.2">
      <c r="A1374" s="62">
        <f ca="1">IFERROR(__xludf.DUMMYFUNCTION("""COMPUTED_VALUE"""),10080076)</f>
        <v>10080076</v>
      </c>
      <c r="B1374" s="62" t="str">
        <f ca="1">IFERROR(__xludf.DUMMYFUNCTION("""COMPUTED_VALUE"""),"Camara Trasera samsung A21S")</f>
        <v>Camara Trasera samsung A21S</v>
      </c>
      <c r="C1374" s="75">
        <f ca="1">IFERROR(__xludf.DUMMYFUNCTION("""COMPUTED_VALUE"""),70)</f>
        <v>70</v>
      </c>
      <c r="D1374" s="75">
        <f ca="1">IFERROR(__xludf.DUMMYFUNCTION("""COMPUTED_VALUE"""),50)</f>
        <v>50</v>
      </c>
      <c r="E1374" s="76">
        <f ca="1">IFERROR(__xludf.DUMMYFUNCTION("""COMPUTED_VALUE"""),120)</f>
        <v>120</v>
      </c>
      <c r="F1374" s="77">
        <f ca="1">IFERROR(__xludf.DUMMYFUNCTION("""COMPUTED_VALUE"""),10080076)</f>
        <v>10080076</v>
      </c>
      <c r="G1374" s="77" t="str">
        <f t="shared" ca="1" si="5"/>
        <v>si</v>
      </c>
    </row>
    <row r="1375" spans="1:7" ht="12.75" x14ac:dyDescent="0.2">
      <c r="A1375" s="62">
        <f ca="1">IFERROR(__xludf.DUMMYFUNCTION("""COMPUTED_VALUE"""),10080154)</f>
        <v>10080154</v>
      </c>
      <c r="B1375" s="62" t="str">
        <f ca="1">IFERROR(__xludf.DUMMYFUNCTION("""COMPUTED_VALUE"""),"Camara Trasera Samsung A30 / A305F")</f>
        <v>Camara Trasera Samsung A30 / A305F</v>
      </c>
      <c r="C1375" s="75">
        <f ca="1">IFERROR(__xludf.DUMMYFUNCTION("""COMPUTED_VALUE"""),90)</f>
        <v>90</v>
      </c>
      <c r="D1375" s="75">
        <f ca="1">IFERROR(__xludf.DUMMYFUNCTION("""COMPUTED_VALUE"""),50)</f>
        <v>50</v>
      </c>
      <c r="E1375" s="76">
        <f ca="1">IFERROR(__xludf.DUMMYFUNCTION("""COMPUTED_VALUE"""),140)</f>
        <v>140</v>
      </c>
      <c r="F1375" s="77">
        <f ca="1">IFERROR(__xludf.DUMMYFUNCTION("""COMPUTED_VALUE"""),10080154)</f>
        <v>10080154</v>
      </c>
      <c r="G1375" s="77" t="str">
        <f t="shared" ca="1" si="5"/>
        <v>si</v>
      </c>
    </row>
    <row r="1376" spans="1:7" ht="12.75" x14ac:dyDescent="0.2">
      <c r="A1376" s="62">
        <f ca="1">IFERROR(__xludf.DUMMYFUNCTION("""COMPUTED_VALUE"""),10080152)</f>
        <v>10080152</v>
      </c>
      <c r="B1376" s="62" t="str">
        <f ca="1">IFERROR(__xludf.DUMMYFUNCTION("""COMPUTED_VALUE"""),"Camara Trasera Samsung A50 / A505F")</f>
        <v>Camara Trasera Samsung A50 / A505F</v>
      </c>
      <c r="C1376" s="75">
        <f ca="1">IFERROR(__xludf.DUMMYFUNCTION("""COMPUTED_VALUE"""),80)</f>
        <v>80</v>
      </c>
      <c r="D1376" s="75">
        <f ca="1">IFERROR(__xludf.DUMMYFUNCTION("""COMPUTED_VALUE"""),50)</f>
        <v>50</v>
      </c>
      <c r="E1376" s="76">
        <f ca="1">IFERROR(__xludf.DUMMYFUNCTION("""COMPUTED_VALUE"""),130)</f>
        <v>130</v>
      </c>
      <c r="F1376" s="77">
        <f ca="1">IFERROR(__xludf.DUMMYFUNCTION("""COMPUTED_VALUE"""),10080152)</f>
        <v>10080152</v>
      </c>
      <c r="G1376" s="77" t="str">
        <f t="shared" ca="1" si="5"/>
        <v>si</v>
      </c>
    </row>
    <row r="1377" spans="1:7" ht="12.75" x14ac:dyDescent="0.2">
      <c r="A1377" s="62">
        <f ca="1">IFERROR(__xludf.DUMMYFUNCTION("""COMPUTED_VALUE"""),10080147)</f>
        <v>10080147</v>
      </c>
      <c r="B1377" s="62" t="str">
        <f ca="1">IFERROR(__xludf.DUMMYFUNCTION("""COMPUTED_VALUE"""),"Camara Trasera Samsung A7 2018 A750")</f>
        <v>Camara Trasera Samsung A7 2018 A750</v>
      </c>
      <c r="C1377" s="75">
        <f ca="1">IFERROR(__xludf.DUMMYFUNCTION("""COMPUTED_VALUE"""),70)</f>
        <v>70</v>
      </c>
      <c r="D1377" s="75">
        <f ca="1">IFERROR(__xludf.DUMMYFUNCTION("""COMPUTED_VALUE"""),50)</f>
        <v>50</v>
      </c>
      <c r="E1377" s="76">
        <f ca="1">IFERROR(__xludf.DUMMYFUNCTION("""COMPUTED_VALUE"""),120)</f>
        <v>120</v>
      </c>
      <c r="F1377" s="77">
        <f ca="1">IFERROR(__xludf.DUMMYFUNCTION("""COMPUTED_VALUE"""),10080147)</f>
        <v>10080147</v>
      </c>
      <c r="G1377" s="77" t="str">
        <f t="shared" ca="1" si="5"/>
        <v>si</v>
      </c>
    </row>
    <row r="1378" spans="1:7" ht="12.75" x14ac:dyDescent="0.2">
      <c r="A1378" s="62">
        <f ca="1">IFERROR(__xludf.DUMMYFUNCTION("""COMPUTED_VALUE"""),10080151)</f>
        <v>10080151</v>
      </c>
      <c r="B1378" s="62" t="str">
        <f ca="1">IFERROR(__xludf.DUMMYFUNCTION("""COMPUTED_VALUE"""),"Camara Trasera Samsung A70 / A705F")</f>
        <v>Camara Trasera Samsung A70 / A705F</v>
      </c>
      <c r="C1378" s="75">
        <f ca="1">IFERROR(__xludf.DUMMYFUNCTION("""COMPUTED_VALUE"""),80)</f>
        <v>80</v>
      </c>
      <c r="D1378" s="75">
        <f ca="1">IFERROR(__xludf.DUMMYFUNCTION("""COMPUTED_VALUE"""),50)</f>
        <v>50</v>
      </c>
      <c r="E1378" s="76">
        <f ca="1">IFERROR(__xludf.DUMMYFUNCTION("""COMPUTED_VALUE"""),130)</f>
        <v>130</v>
      </c>
      <c r="F1378" s="77">
        <f ca="1">IFERROR(__xludf.DUMMYFUNCTION("""COMPUTED_VALUE"""),10080151)</f>
        <v>10080151</v>
      </c>
      <c r="G1378" s="77" t="str">
        <f t="shared" ca="1" si="5"/>
        <v>si</v>
      </c>
    </row>
    <row r="1379" spans="1:7" ht="12.75" x14ac:dyDescent="0.2">
      <c r="A1379" s="62">
        <f ca="1">IFERROR(__xludf.DUMMYFUNCTION("""COMPUTED_VALUE"""),10080148)</f>
        <v>10080148</v>
      </c>
      <c r="B1379" s="62" t="str">
        <f ca="1">IFERROR(__xludf.DUMMYFUNCTION("""COMPUTED_VALUE"""),"Camara Trasera Samsung Note 8")</f>
        <v>Camara Trasera Samsung Note 8</v>
      </c>
      <c r="C1379" s="75">
        <f ca="1">IFERROR(__xludf.DUMMYFUNCTION("""COMPUTED_VALUE"""),90)</f>
        <v>90</v>
      </c>
      <c r="D1379" s="75">
        <f ca="1">IFERROR(__xludf.DUMMYFUNCTION("""COMPUTED_VALUE"""),50)</f>
        <v>50</v>
      </c>
      <c r="E1379" s="76">
        <f ca="1">IFERROR(__xludf.DUMMYFUNCTION("""COMPUTED_VALUE"""),140)</f>
        <v>140</v>
      </c>
      <c r="F1379" s="77">
        <f ca="1">IFERROR(__xludf.DUMMYFUNCTION("""COMPUTED_VALUE"""),10080148)</f>
        <v>10080148</v>
      </c>
      <c r="G1379" s="77" t="str">
        <f t="shared" ca="1" si="5"/>
        <v>si</v>
      </c>
    </row>
    <row r="1380" spans="1:7" ht="12.75" x14ac:dyDescent="0.2">
      <c r="A1380" s="62">
        <f ca="1">IFERROR(__xludf.DUMMYFUNCTION("""COMPUTED_VALUE"""),10140029)</f>
        <v>10140029</v>
      </c>
      <c r="B1380" s="62" t="str">
        <f ca="1">IFERROR(__xludf.DUMMYFUNCTION("""COMPUTED_VALUE"""),"Camara Trasera Samsung Note 20 ultra")</f>
        <v>Camara Trasera Samsung Note 20 ultra</v>
      </c>
      <c r="C1380" s="75">
        <f ca="1">IFERROR(__xludf.DUMMYFUNCTION("""COMPUTED_VALUE"""),260)</f>
        <v>260</v>
      </c>
      <c r="D1380" s="75">
        <f ca="1">IFERROR(__xludf.DUMMYFUNCTION("""COMPUTED_VALUE"""),50)</f>
        <v>50</v>
      </c>
      <c r="E1380" s="76">
        <f ca="1">IFERROR(__xludf.DUMMYFUNCTION("""COMPUTED_VALUE"""),310)</f>
        <v>310</v>
      </c>
      <c r="F1380" s="77">
        <f ca="1">IFERROR(__xludf.DUMMYFUNCTION("""COMPUTED_VALUE"""),10140029)</f>
        <v>10140029</v>
      </c>
      <c r="G1380" s="77" t="str">
        <f t="shared" ca="1" si="5"/>
        <v>si</v>
      </c>
    </row>
    <row r="1381" spans="1:7" ht="12.75" x14ac:dyDescent="0.2">
      <c r="A1381" s="62">
        <f ca="1">IFERROR(__xludf.DUMMYFUNCTION("""COMPUTED_VALUE"""),10140030)</f>
        <v>10140030</v>
      </c>
      <c r="B1381" s="62" t="str">
        <f ca="1">IFERROR(__xludf.DUMMYFUNCTION("""COMPUTED_VALUE"""),"Camara Trasera Samsung Note 10 Plus")</f>
        <v>Camara Trasera Samsung Note 10 Plus</v>
      </c>
      <c r="C1381" s="75">
        <f ca="1">IFERROR(__xludf.DUMMYFUNCTION("""COMPUTED_VALUE"""),300)</f>
        <v>300</v>
      </c>
      <c r="D1381" s="75">
        <f ca="1">IFERROR(__xludf.DUMMYFUNCTION("""COMPUTED_VALUE"""),50)</f>
        <v>50</v>
      </c>
      <c r="E1381" s="76">
        <f ca="1">IFERROR(__xludf.DUMMYFUNCTION("""COMPUTED_VALUE"""),350)</f>
        <v>350</v>
      </c>
      <c r="F1381" s="77">
        <f ca="1">IFERROR(__xludf.DUMMYFUNCTION("""COMPUTED_VALUE"""),10140030)</f>
        <v>10140030</v>
      </c>
      <c r="G1381" s="77" t="str">
        <f t="shared" ca="1" si="5"/>
        <v>si</v>
      </c>
    </row>
    <row r="1382" spans="1:7" ht="12.75" x14ac:dyDescent="0.2">
      <c r="A1382" s="62">
        <f ca="1">IFERROR(__xludf.DUMMYFUNCTION("""COMPUTED_VALUE"""),10140031)</f>
        <v>10140031</v>
      </c>
      <c r="B1382" s="62" t="str">
        <f ca="1">IFERROR(__xludf.DUMMYFUNCTION("""COMPUTED_VALUE"""),"Camara Trasera Samsung S10 plus")</f>
        <v>Camara Trasera Samsung S10 plus</v>
      </c>
      <c r="C1382" s="75">
        <f ca="1">IFERROR(__xludf.DUMMYFUNCTION("""COMPUTED_VALUE"""),220)</f>
        <v>220</v>
      </c>
      <c r="D1382" s="75">
        <f ca="1">IFERROR(__xludf.DUMMYFUNCTION("""COMPUTED_VALUE"""),50)</f>
        <v>50</v>
      </c>
      <c r="E1382" s="76">
        <f ca="1">IFERROR(__xludf.DUMMYFUNCTION("""COMPUTED_VALUE"""),270)</f>
        <v>270</v>
      </c>
      <c r="F1382" s="77">
        <f ca="1">IFERROR(__xludf.DUMMYFUNCTION("""COMPUTED_VALUE"""),10140031)</f>
        <v>10140031</v>
      </c>
      <c r="G1382" s="77" t="str">
        <f t="shared" ca="1" si="5"/>
        <v>si</v>
      </c>
    </row>
    <row r="1383" spans="1:7" ht="12.75" x14ac:dyDescent="0.2">
      <c r="A1383" s="62">
        <f ca="1">IFERROR(__xludf.DUMMYFUNCTION("""COMPUTED_VALUE"""),10140032)</f>
        <v>10140032</v>
      </c>
      <c r="B1383" s="62" t="str">
        <f ca="1">IFERROR(__xludf.DUMMYFUNCTION("""COMPUTED_VALUE"""),"Camara Trasera Samsung S10 ")</f>
        <v xml:space="preserve">Camara Trasera Samsung S10 </v>
      </c>
      <c r="C1383" s="75">
        <f ca="1">IFERROR(__xludf.DUMMYFUNCTION("""COMPUTED_VALUE"""),220)</f>
        <v>220</v>
      </c>
      <c r="D1383" s="75">
        <f ca="1">IFERROR(__xludf.DUMMYFUNCTION("""COMPUTED_VALUE"""),50)</f>
        <v>50</v>
      </c>
      <c r="E1383" s="76">
        <f ca="1">IFERROR(__xludf.DUMMYFUNCTION("""COMPUTED_VALUE"""),270)</f>
        <v>270</v>
      </c>
      <c r="F1383" s="77">
        <f ca="1">IFERROR(__xludf.DUMMYFUNCTION("""COMPUTED_VALUE"""),10140032)</f>
        <v>10140032</v>
      </c>
      <c r="G1383" s="77" t="str">
        <f t="shared" ca="1" si="5"/>
        <v>si</v>
      </c>
    </row>
    <row r="1384" spans="1:7" ht="12.75" x14ac:dyDescent="0.2">
      <c r="A1384" s="62">
        <f ca="1">IFERROR(__xludf.DUMMYFUNCTION("""COMPUTED_VALUE"""),10140033)</f>
        <v>10140033</v>
      </c>
      <c r="B1384" s="62" t="str">
        <f ca="1">IFERROR(__xludf.DUMMYFUNCTION("""COMPUTED_VALUE"""),"Camara Trasera Samsung S20 Kit Completo")</f>
        <v>Camara Trasera Samsung S20 Kit Completo</v>
      </c>
      <c r="C1384" s="75">
        <f ca="1">IFERROR(__xludf.DUMMYFUNCTION("""COMPUTED_VALUE"""),240)</f>
        <v>240</v>
      </c>
      <c r="D1384" s="75">
        <f ca="1">IFERROR(__xludf.DUMMYFUNCTION("""COMPUTED_VALUE"""),50)</f>
        <v>50</v>
      </c>
      <c r="E1384" s="76">
        <f ca="1">IFERROR(__xludf.DUMMYFUNCTION("""COMPUTED_VALUE"""),290)</f>
        <v>290</v>
      </c>
      <c r="F1384" s="77">
        <f ca="1">IFERROR(__xludf.DUMMYFUNCTION("""COMPUTED_VALUE"""),10140033)</f>
        <v>10140033</v>
      </c>
      <c r="G1384" s="77" t="str">
        <f t="shared" ca="1" si="5"/>
        <v>si</v>
      </c>
    </row>
    <row r="1385" spans="1:7" ht="12.75" x14ac:dyDescent="0.2">
      <c r="A1385" s="62">
        <f ca="1">IFERROR(__xludf.DUMMYFUNCTION("""COMPUTED_VALUE"""),10140034)</f>
        <v>10140034</v>
      </c>
      <c r="B1385" s="62" t="str">
        <f ca="1">IFERROR(__xludf.DUMMYFUNCTION("""COMPUTED_VALUE"""),"Camara Trasera Samsung S20 Plus Set Completo")</f>
        <v>Camara Trasera Samsung S20 Plus Set Completo</v>
      </c>
      <c r="C1385" s="75">
        <f ca="1">IFERROR(__xludf.DUMMYFUNCTION("""COMPUTED_VALUE"""),380)</f>
        <v>380</v>
      </c>
      <c r="D1385" s="75">
        <f ca="1">IFERROR(__xludf.DUMMYFUNCTION("""COMPUTED_VALUE"""),50)</f>
        <v>50</v>
      </c>
      <c r="E1385" s="76">
        <f ca="1">IFERROR(__xludf.DUMMYFUNCTION("""COMPUTED_VALUE"""),430)</f>
        <v>430</v>
      </c>
      <c r="F1385" s="77">
        <f ca="1">IFERROR(__xludf.DUMMYFUNCTION("""COMPUTED_VALUE"""),10140034)</f>
        <v>10140034</v>
      </c>
      <c r="G1385" s="77" t="str">
        <f t="shared" ca="1" si="5"/>
        <v>si</v>
      </c>
    </row>
    <row r="1386" spans="1:7" ht="12.75" x14ac:dyDescent="0.2">
      <c r="A1386" s="62">
        <f ca="1">IFERROR(__xludf.DUMMYFUNCTION("""COMPUTED_VALUE"""),10080079)</f>
        <v>10080079</v>
      </c>
      <c r="B1386" s="62" t="str">
        <f ca="1">IFERROR(__xludf.DUMMYFUNCTION("""COMPUTED_VALUE"""),"Camara Trasera Xiaomi Mi 8")</f>
        <v>Camara Trasera Xiaomi Mi 8</v>
      </c>
      <c r="C1386" s="75">
        <f ca="1">IFERROR(__xludf.DUMMYFUNCTION("""COMPUTED_VALUE"""),115)</f>
        <v>115</v>
      </c>
      <c r="D1386" s="75">
        <f ca="1">IFERROR(__xludf.DUMMYFUNCTION("""COMPUTED_VALUE"""),50)</f>
        <v>50</v>
      </c>
      <c r="E1386" s="76">
        <f ca="1">IFERROR(__xludf.DUMMYFUNCTION("""COMPUTED_VALUE"""),165)</f>
        <v>165</v>
      </c>
      <c r="F1386" s="77">
        <f ca="1">IFERROR(__xludf.DUMMYFUNCTION("""COMPUTED_VALUE"""),10080079)</f>
        <v>10080079</v>
      </c>
      <c r="G1386" s="77" t="str">
        <f t="shared" ca="1" si="5"/>
        <v>si</v>
      </c>
    </row>
    <row r="1387" spans="1:7" ht="12.75" x14ac:dyDescent="0.2">
      <c r="A1387" s="62">
        <f ca="1">IFERROR(__xludf.DUMMYFUNCTION("""COMPUTED_VALUE"""),10080080)</f>
        <v>10080080</v>
      </c>
      <c r="B1387" s="62" t="str">
        <f ca="1">IFERROR(__xludf.DUMMYFUNCTION("""COMPUTED_VALUE"""),"Camara Trasera Xiaomi Mi 9")</f>
        <v>Camara Trasera Xiaomi Mi 9</v>
      </c>
      <c r="C1387" s="75">
        <f ca="1">IFERROR(__xludf.DUMMYFUNCTION("""COMPUTED_VALUE"""),165)</f>
        <v>165</v>
      </c>
      <c r="D1387" s="75">
        <f ca="1">IFERROR(__xludf.DUMMYFUNCTION("""COMPUTED_VALUE"""),50)</f>
        <v>50</v>
      </c>
      <c r="E1387" s="76">
        <f ca="1">IFERROR(__xludf.DUMMYFUNCTION("""COMPUTED_VALUE"""),215)</f>
        <v>215</v>
      </c>
      <c r="F1387" s="77">
        <f ca="1">IFERROR(__xludf.DUMMYFUNCTION("""COMPUTED_VALUE"""),10080080)</f>
        <v>10080080</v>
      </c>
      <c r="G1387" s="77" t="str">
        <f t="shared" ca="1" si="5"/>
        <v>si</v>
      </c>
    </row>
    <row r="1388" spans="1:7" ht="12.75" x14ac:dyDescent="0.2">
      <c r="A1388" s="62">
        <f ca="1">IFERROR(__xludf.DUMMYFUNCTION("""COMPUTED_VALUE"""),10080078)</f>
        <v>10080078</v>
      </c>
      <c r="B1388" s="62" t="str">
        <f ca="1">IFERROR(__xludf.DUMMYFUNCTION("""COMPUTED_VALUE"""),"Camara Trasera Xiaomi Mi 9T / Mi 9T PRO / K20 PRO")</f>
        <v>Camara Trasera Xiaomi Mi 9T / Mi 9T PRO / K20 PRO</v>
      </c>
      <c r="C1388" s="75">
        <f ca="1">IFERROR(__xludf.DUMMYFUNCTION("""COMPUTED_VALUE"""),115)</f>
        <v>115</v>
      </c>
      <c r="D1388" s="75">
        <f ca="1">IFERROR(__xludf.DUMMYFUNCTION("""COMPUTED_VALUE"""),50)</f>
        <v>50</v>
      </c>
      <c r="E1388" s="76">
        <f ca="1">IFERROR(__xludf.DUMMYFUNCTION("""COMPUTED_VALUE"""),165)</f>
        <v>165</v>
      </c>
      <c r="F1388" s="77">
        <f ca="1">IFERROR(__xludf.DUMMYFUNCTION("""COMPUTED_VALUE"""),10080078)</f>
        <v>10080078</v>
      </c>
      <c r="G1388" s="77" t="str">
        <f t="shared" ca="1" si="5"/>
        <v>si</v>
      </c>
    </row>
    <row r="1389" spans="1:7" ht="12.75" x14ac:dyDescent="0.2">
      <c r="A1389" s="62">
        <f ca="1">IFERROR(__xludf.DUMMYFUNCTION("""COMPUTED_VALUE"""),10140035)</f>
        <v>10140035</v>
      </c>
      <c r="B1389" s="62" t="str">
        <f ca="1">IFERROR(__xludf.DUMMYFUNCTION("""COMPUTED_VALUE"""),"Camara Trasera Samsung Note 9")</f>
        <v>Camara Trasera Samsung Note 9</v>
      </c>
      <c r="C1389" s="75">
        <f ca="1">IFERROR(__xludf.DUMMYFUNCTION("""COMPUTED_VALUE"""),100)</f>
        <v>100</v>
      </c>
      <c r="D1389" s="75">
        <f ca="1">IFERROR(__xludf.DUMMYFUNCTION("""COMPUTED_VALUE"""),50)</f>
        <v>50</v>
      </c>
      <c r="E1389" s="76">
        <f ca="1">IFERROR(__xludf.DUMMYFUNCTION("""COMPUTED_VALUE"""),150)</f>
        <v>150</v>
      </c>
      <c r="F1389" s="77">
        <f ca="1">IFERROR(__xludf.DUMMYFUNCTION("""COMPUTED_VALUE"""),10140035)</f>
        <v>10140035</v>
      </c>
      <c r="G1389" s="77" t="str">
        <f t="shared" ca="1" si="5"/>
        <v>si</v>
      </c>
    </row>
    <row r="1390" spans="1:7" ht="12.75" x14ac:dyDescent="0.2">
      <c r="A1390" s="62">
        <f ca="1">IFERROR(__xludf.DUMMYFUNCTION("""COMPUTED_VALUE"""),10140036)</f>
        <v>10140036</v>
      </c>
      <c r="B1390" s="62" t="str">
        <f ca="1">IFERROR(__xludf.DUMMYFUNCTION("""COMPUTED_VALUE"""),"Camara Trasera Samsung Note 10")</f>
        <v>Camara Trasera Samsung Note 10</v>
      </c>
      <c r="C1390" s="75">
        <f ca="1">IFERROR(__xludf.DUMMYFUNCTION("""COMPUTED_VALUE"""),120)</f>
        <v>120</v>
      </c>
      <c r="D1390" s="75">
        <f ca="1">IFERROR(__xludf.DUMMYFUNCTION("""COMPUTED_VALUE"""),50)</f>
        <v>50</v>
      </c>
      <c r="E1390" s="76">
        <f ca="1">IFERROR(__xludf.DUMMYFUNCTION("""COMPUTED_VALUE"""),170)</f>
        <v>170</v>
      </c>
      <c r="F1390" s="77">
        <f ca="1">IFERROR(__xludf.DUMMYFUNCTION("""COMPUTED_VALUE"""),10140036)</f>
        <v>10140036</v>
      </c>
      <c r="G1390" s="77" t="str">
        <f t="shared" ca="1" si="5"/>
        <v>si</v>
      </c>
    </row>
    <row r="1391" spans="1:7" ht="12.75" x14ac:dyDescent="0.2">
      <c r="A1391" s="62">
        <f ca="1">IFERROR(__xludf.DUMMYFUNCTION("""COMPUTED_VALUE"""),10140037)</f>
        <v>10140037</v>
      </c>
      <c r="B1391" s="62" t="str">
        <f ca="1">IFERROR(__xludf.DUMMYFUNCTION("""COMPUTED_VALUE"""),"Camara Trasera Samsung S8")</f>
        <v>Camara Trasera Samsung S8</v>
      </c>
      <c r="C1391" s="75">
        <f ca="1">IFERROR(__xludf.DUMMYFUNCTION("""COMPUTED_VALUE"""),100)</f>
        <v>100</v>
      </c>
      <c r="D1391" s="75">
        <f ca="1">IFERROR(__xludf.DUMMYFUNCTION("""COMPUTED_VALUE"""),50)</f>
        <v>50</v>
      </c>
      <c r="E1391" s="76">
        <f ca="1">IFERROR(__xludf.DUMMYFUNCTION("""COMPUTED_VALUE"""),150)</f>
        <v>150</v>
      </c>
      <c r="F1391" s="77">
        <f ca="1">IFERROR(__xludf.DUMMYFUNCTION("""COMPUTED_VALUE"""),10140037)</f>
        <v>10140037</v>
      </c>
      <c r="G1391" s="77" t="str">
        <f t="shared" ca="1" si="5"/>
        <v>si</v>
      </c>
    </row>
    <row r="1392" spans="1:7" ht="12.75" x14ac:dyDescent="0.2">
      <c r="A1392" s="62">
        <f ca="1">IFERROR(__xludf.DUMMYFUNCTION("""COMPUTED_VALUE"""),10140038)</f>
        <v>10140038</v>
      </c>
      <c r="B1392" s="62" t="str">
        <f ca="1">IFERROR(__xludf.DUMMYFUNCTION("""COMPUTED_VALUE"""),"Camara Trasera Samsung S8 Plus")</f>
        <v>Camara Trasera Samsung S8 Plus</v>
      </c>
      <c r="C1392" s="75">
        <f ca="1">IFERROR(__xludf.DUMMYFUNCTION("""COMPUTED_VALUE"""),100)</f>
        <v>100</v>
      </c>
      <c r="D1392" s="75">
        <f ca="1">IFERROR(__xludf.DUMMYFUNCTION("""COMPUTED_VALUE"""),50)</f>
        <v>50</v>
      </c>
      <c r="E1392" s="76">
        <f ca="1">IFERROR(__xludf.DUMMYFUNCTION("""COMPUTED_VALUE"""),150)</f>
        <v>150</v>
      </c>
      <c r="F1392" s="77">
        <f ca="1">IFERROR(__xludf.DUMMYFUNCTION("""COMPUTED_VALUE"""),10140038)</f>
        <v>10140038</v>
      </c>
      <c r="G1392" s="77" t="str">
        <f t="shared" ca="1" si="5"/>
        <v>si</v>
      </c>
    </row>
    <row r="1393" spans="1:7" ht="12.75" x14ac:dyDescent="0.2">
      <c r="A1393" s="62">
        <f ca="1">IFERROR(__xludf.DUMMYFUNCTION("""COMPUTED_VALUE"""),10140039)</f>
        <v>10140039</v>
      </c>
      <c r="B1393" s="62" t="str">
        <f ca="1">IFERROR(__xludf.DUMMYFUNCTION("""COMPUTED_VALUE"""),"Camara Trasera Samsung S9")</f>
        <v>Camara Trasera Samsung S9</v>
      </c>
      <c r="C1393" s="75">
        <f ca="1">IFERROR(__xludf.DUMMYFUNCTION("""COMPUTED_VALUE"""),100)</f>
        <v>100</v>
      </c>
      <c r="D1393" s="75">
        <f ca="1">IFERROR(__xludf.DUMMYFUNCTION("""COMPUTED_VALUE"""),50)</f>
        <v>50</v>
      </c>
      <c r="E1393" s="76">
        <f ca="1">IFERROR(__xludf.DUMMYFUNCTION("""COMPUTED_VALUE"""),150)</f>
        <v>150</v>
      </c>
      <c r="F1393" s="77">
        <f ca="1">IFERROR(__xludf.DUMMYFUNCTION("""COMPUTED_VALUE"""),10140039)</f>
        <v>10140039</v>
      </c>
      <c r="G1393" s="77" t="str">
        <f t="shared" ca="1" si="5"/>
        <v>si</v>
      </c>
    </row>
    <row r="1394" spans="1:7" ht="12.75" x14ac:dyDescent="0.2">
      <c r="A1394" s="62">
        <f ca="1">IFERROR(__xludf.DUMMYFUNCTION("""COMPUTED_VALUE"""),10140040)</f>
        <v>10140040</v>
      </c>
      <c r="B1394" s="62" t="str">
        <f ca="1">IFERROR(__xludf.DUMMYFUNCTION("""COMPUTED_VALUE"""),"Camara Trasera Samsung S9 Plus")</f>
        <v>Camara Trasera Samsung S9 Plus</v>
      </c>
      <c r="C1394" s="75">
        <f ca="1">IFERROR(__xludf.DUMMYFUNCTION("""COMPUTED_VALUE"""),100)</f>
        <v>100</v>
      </c>
      <c r="D1394" s="75">
        <f ca="1">IFERROR(__xludf.DUMMYFUNCTION("""COMPUTED_VALUE"""),50)</f>
        <v>50</v>
      </c>
      <c r="E1394" s="76">
        <f ca="1">IFERROR(__xludf.DUMMYFUNCTION("""COMPUTED_VALUE"""),150)</f>
        <v>150</v>
      </c>
      <c r="F1394" s="77">
        <f ca="1">IFERROR(__xludf.DUMMYFUNCTION("""COMPUTED_VALUE"""),10140040)</f>
        <v>10140040</v>
      </c>
      <c r="G1394" s="77" t="str">
        <f t="shared" ca="1" si="5"/>
        <v>si</v>
      </c>
    </row>
    <row r="1395" spans="1:7" ht="12.75" x14ac:dyDescent="0.2">
      <c r="A1395" s="62">
        <f ca="1">IFERROR(__xludf.DUMMYFUNCTION("""COMPUTED_VALUE"""),10140054)</f>
        <v>10140054</v>
      </c>
      <c r="B1395" s="62" t="str">
        <f ca="1">IFERROR(__xludf.DUMMYFUNCTION("""COMPUTED_VALUE"""),"Camara Trasera Samsung Note 20  Set Completo")</f>
        <v>Camara Trasera Samsung Note 20  Set Completo</v>
      </c>
      <c r="C1395" s="75">
        <f ca="1">IFERROR(__xludf.DUMMYFUNCTION("""COMPUTED_VALUE"""),370)</f>
        <v>370</v>
      </c>
      <c r="D1395" s="75">
        <f ca="1">IFERROR(__xludf.DUMMYFUNCTION("""COMPUTED_VALUE"""),50)</f>
        <v>50</v>
      </c>
      <c r="E1395" s="76">
        <f ca="1">IFERROR(__xludf.DUMMYFUNCTION("""COMPUTED_VALUE"""),420)</f>
        <v>420</v>
      </c>
      <c r="F1395" s="77">
        <f ca="1">IFERROR(__xludf.DUMMYFUNCTION("""COMPUTED_VALUE"""),10140054)</f>
        <v>10140054</v>
      </c>
      <c r="G1395" s="77" t="str">
        <f t="shared" ca="1" si="5"/>
        <v>si</v>
      </c>
    </row>
    <row r="1396" spans="1:7" ht="12.75" x14ac:dyDescent="0.2">
      <c r="A1396" s="62">
        <f ca="1">IFERROR(__xludf.DUMMYFUNCTION("""COMPUTED_VALUE"""),10140056)</f>
        <v>10140056</v>
      </c>
      <c r="B1396" s="62" t="str">
        <f ca="1">IFERROR(__xludf.DUMMYFUNCTION("""COMPUTED_VALUE"""),"Camara Trasera Samsung S21 Set Completo")</f>
        <v>Camara Trasera Samsung S21 Set Completo</v>
      </c>
      <c r="C1396" s="75">
        <f ca="1">IFERROR(__xludf.DUMMYFUNCTION("""COMPUTED_VALUE"""),390)</f>
        <v>390</v>
      </c>
      <c r="D1396" s="75">
        <f ca="1">IFERROR(__xludf.DUMMYFUNCTION("""COMPUTED_VALUE"""),50)</f>
        <v>50</v>
      </c>
      <c r="E1396" s="76">
        <f ca="1">IFERROR(__xludf.DUMMYFUNCTION("""COMPUTED_VALUE"""),440)</f>
        <v>440</v>
      </c>
      <c r="F1396" s="77">
        <f ca="1">IFERROR(__xludf.DUMMYFUNCTION("""COMPUTED_VALUE"""),10140056)</f>
        <v>10140056</v>
      </c>
      <c r="G1396" s="77" t="str">
        <f t="shared" ca="1" si="5"/>
        <v>si</v>
      </c>
    </row>
    <row r="1397" spans="1:7" ht="12.75" x14ac:dyDescent="0.2">
      <c r="A1397" s="62">
        <f ca="1">IFERROR(__xludf.DUMMYFUNCTION("""COMPUTED_VALUE"""),10140086)</f>
        <v>10140086</v>
      </c>
      <c r="B1397" s="62" t="str">
        <f ca="1">IFERROR(__xludf.DUMMYFUNCTION("""COMPUTED_VALUE"""),"Camara Trasera Xiaomi PocoPhone F2")</f>
        <v>Camara Trasera Xiaomi PocoPhone F2</v>
      </c>
      <c r="C1397" s="75">
        <f ca="1">IFERROR(__xludf.DUMMYFUNCTION("""COMPUTED_VALUE"""),110)</f>
        <v>110</v>
      </c>
      <c r="D1397" s="75">
        <f ca="1">IFERROR(__xludf.DUMMYFUNCTION("""COMPUTED_VALUE"""),50)</f>
        <v>50</v>
      </c>
      <c r="E1397" s="76">
        <f ca="1">IFERROR(__xludf.DUMMYFUNCTION("""COMPUTED_VALUE"""),160)</f>
        <v>160</v>
      </c>
      <c r="F1397" s="77">
        <f ca="1">IFERROR(__xludf.DUMMYFUNCTION("""COMPUTED_VALUE"""),10140086)</f>
        <v>10140086</v>
      </c>
      <c r="G1397" s="77" t="str">
        <f t="shared" ca="1" si="5"/>
        <v>si</v>
      </c>
    </row>
    <row r="1398" spans="1:7" ht="12.75" x14ac:dyDescent="0.2">
      <c r="A1398" s="62">
        <f ca="1">IFERROR(__xludf.DUMMYFUNCTION("""COMPUTED_VALUE"""),10140087)</f>
        <v>10140087</v>
      </c>
      <c r="B1398" s="62" t="str">
        <f ca="1">IFERROR(__xludf.DUMMYFUNCTION("""COMPUTED_VALUE"""),"Camara Trasera Xiaomi PocoPhone F2 Pro Kit Completo")</f>
        <v>Camara Trasera Xiaomi PocoPhone F2 Pro Kit Completo</v>
      </c>
      <c r="C1398" s="75">
        <f ca="1">IFERROR(__xludf.DUMMYFUNCTION("""COMPUTED_VALUE"""),110)</f>
        <v>110</v>
      </c>
      <c r="D1398" s="75">
        <f ca="1">IFERROR(__xludf.DUMMYFUNCTION("""COMPUTED_VALUE"""),50)</f>
        <v>50</v>
      </c>
      <c r="E1398" s="76">
        <f ca="1">IFERROR(__xludf.DUMMYFUNCTION("""COMPUTED_VALUE"""),160)</f>
        <v>160</v>
      </c>
      <c r="F1398" s="77">
        <f ca="1">IFERROR(__xludf.DUMMYFUNCTION("""COMPUTED_VALUE"""),10140087)</f>
        <v>10140087</v>
      </c>
      <c r="G1398" s="77" t="str">
        <f t="shared" ca="1" si="5"/>
        <v>si</v>
      </c>
    </row>
    <row r="1399" spans="1:7" ht="12.75" x14ac:dyDescent="0.2">
      <c r="A1399" s="62">
        <f ca="1">IFERROR(__xludf.DUMMYFUNCTION("""COMPUTED_VALUE"""),10140088)</f>
        <v>10140088</v>
      </c>
      <c r="B1399" s="62" t="str">
        <f ca="1">IFERROR(__xludf.DUMMYFUNCTION("""COMPUTED_VALUE"""),"Camara Trasera Xiaomi Mi A2 / Mi 6X Kit Completo")</f>
        <v>Camara Trasera Xiaomi Mi A2 / Mi 6X Kit Completo</v>
      </c>
      <c r="C1399" s="75">
        <f ca="1">IFERROR(__xludf.DUMMYFUNCTION("""COMPUTED_VALUE"""),100)</f>
        <v>100</v>
      </c>
      <c r="D1399" s="75">
        <f ca="1">IFERROR(__xludf.DUMMYFUNCTION("""COMPUTED_VALUE"""),50)</f>
        <v>50</v>
      </c>
      <c r="E1399" s="76">
        <f ca="1">IFERROR(__xludf.DUMMYFUNCTION("""COMPUTED_VALUE"""),150)</f>
        <v>150</v>
      </c>
      <c r="F1399" s="77">
        <f ca="1">IFERROR(__xludf.DUMMYFUNCTION("""COMPUTED_VALUE"""),10140088)</f>
        <v>10140088</v>
      </c>
      <c r="G1399" s="77" t="str">
        <f t="shared" ca="1" si="5"/>
        <v>si</v>
      </c>
    </row>
    <row r="1400" spans="1:7" ht="12.75" x14ac:dyDescent="0.2">
      <c r="A1400" s="62">
        <f ca="1">IFERROR(__xludf.DUMMYFUNCTION("""COMPUTED_VALUE"""),10140089)</f>
        <v>10140089</v>
      </c>
      <c r="B1400" s="62" t="str">
        <f ca="1">IFERROR(__xludf.DUMMYFUNCTION("""COMPUTED_VALUE"""),"Camara Trasera Xiaomi Mi A3")</f>
        <v>Camara Trasera Xiaomi Mi A3</v>
      </c>
      <c r="C1400" s="75">
        <f ca="1">IFERROR(__xludf.DUMMYFUNCTION("""COMPUTED_VALUE"""),110)</f>
        <v>110</v>
      </c>
      <c r="D1400" s="75">
        <f ca="1">IFERROR(__xludf.DUMMYFUNCTION("""COMPUTED_VALUE"""),50)</f>
        <v>50</v>
      </c>
      <c r="E1400" s="76">
        <f ca="1">IFERROR(__xludf.DUMMYFUNCTION("""COMPUTED_VALUE"""),160)</f>
        <v>160</v>
      </c>
      <c r="F1400" s="77">
        <f ca="1">IFERROR(__xludf.DUMMYFUNCTION("""COMPUTED_VALUE"""),10140089)</f>
        <v>10140089</v>
      </c>
      <c r="G1400" s="77" t="str">
        <f t="shared" ca="1" si="5"/>
        <v>si</v>
      </c>
    </row>
    <row r="1401" spans="1:7" ht="12.75" x14ac:dyDescent="0.2">
      <c r="A1401" s="62">
        <f ca="1">IFERROR(__xludf.DUMMYFUNCTION("""COMPUTED_VALUE"""),10140090)</f>
        <v>10140090</v>
      </c>
      <c r="B1401" s="62" t="str">
        <f ca="1">IFERROR(__xludf.DUMMYFUNCTION("""COMPUTED_VALUE"""),"Camara Trasera Xiaomi Mi A2 Lite - Redmi 6Pro Kit Completo")</f>
        <v>Camara Trasera Xiaomi Mi A2 Lite - Redmi 6Pro Kit Completo</v>
      </c>
      <c r="C1401" s="75">
        <f ca="1">IFERROR(__xludf.DUMMYFUNCTION("""COMPUTED_VALUE"""),90)</f>
        <v>90</v>
      </c>
      <c r="D1401" s="75">
        <f ca="1">IFERROR(__xludf.DUMMYFUNCTION("""COMPUTED_VALUE"""),50)</f>
        <v>50</v>
      </c>
      <c r="E1401" s="76">
        <f ca="1">IFERROR(__xludf.DUMMYFUNCTION("""COMPUTED_VALUE"""),140)</f>
        <v>140</v>
      </c>
      <c r="F1401" s="77">
        <f ca="1">IFERROR(__xludf.DUMMYFUNCTION("""COMPUTED_VALUE"""),10140090)</f>
        <v>10140090</v>
      </c>
      <c r="G1401" s="77" t="str">
        <f t="shared" ca="1" si="5"/>
        <v>si</v>
      </c>
    </row>
    <row r="1402" spans="1:7" ht="12.75" x14ac:dyDescent="0.2">
      <c r="A1402" s="62">
        <f ca="1">IFERROR(__xludf.DUMMYFUNCTION("""COMPUTED_VALUE"""),10140091)</f>
        <v>10140091</v>
      </c>
      <c r="B1402" s="62" t="str">
        <f ca="1">IFERROR(__xludf.DUMMYFUNCTION("""COMPUTED_VALUE"""),"Camara Trasera Xiaomi Mi A1 / Mi 5X")</f>
        <v>Camara Trasera Xiaomi Mi A1 / Mi 5X</v>
      </c>
      <c r="C1402" s="75">
        <f ca="1">IFERROR(__xludf.DUMMYFUNCTION("""COMPUTED_VALUE"""),100)</f>
        <v>100</v>
      </c>
      <c r="D1402" s="75">
        <f ca="1">IFERROR(__xludf.DUMMYFUNCTION("""COMPUTED_VALUE"""),50)</f>
        <v>50</v>
      </c>
      <c r="E1402" s="76">
        <f ca="1">IFERROR(__xludf.DUMMYFUNCTION("""COMPUTED_VALUE"""),150)</f>
        <v>150</v>
      </c>
      <c r="F1402" s="77">
        <f ca="1">IFERROR(__xludf.DUMMYFUNCTION("""COMPUTED_VALUE"""),10140091)</f>
        <v>10140091</v>
      </c>
      <c r="G1402" s="77" t="str">
        <f t="shared" ca="1" si="5"/>
        <v>si</v>
      </c>
    </row>
    <row r="1403" spans="1:7" ht="12.75" x14ac:dyDescent="0.2">
      <c r="A1403" s="62">
        <f ca="1">IFERROR(__xludf.DUMMYFUNCTION("""COMPUTED_VALUE"""),10140092)</f>
        <v>10140092</v>
      </c>
      <c r="B1403" s="62" t="str">
        <f ca="1">IFERROR(__xludf.DUMMYFUNCTION("""COMPUTED_VALUE"""),"Camara Trasera Xiaomi Poco X3 - X3 Pro - X3 NFC")</f>
        <v>Camara Trasera Xiaomi Poco X3 - X3 Pro - X3 NFC</v>
      </c>
      <c r="C1403" s="75">
        <f ca="1">IFERROR(__xludf.DUMMYFUNCTION("""COMPUTED_VALUE"""),100)</f>
        <v>100</v>
      </c>
      <c r="D1403" s="75">
        <f ca="1">IFERROR(__xludf.DUMMYFUNCTION("""COMPUTED_VALUE"""),50)</f>
        <v>50</v>
      </c>
      <c r="E1403" s="76">
        <f ca="1">IFERROR(__xludf.DUMMYFUNCTION("""COMPUTED_VALUE"""),150)</f>
        <v>150</v>
      </c>
      <c r="F1403" s="77">
        <f ca="1">IFERROR(__xludf.DUMMYFUNCTION("""COMPUTED_VALUE"""),10140092)</f>
        <v>10140092</v>
      </c>
      <c r="G1403" s="77" t="str">
        <f t="shared" ca="1" si="5"/>
        <v>si</v>
      </c>
    </row>
    <row r="1404" spans="1:7" ht="12.75" x14ac:dyDescent="0.2">
      <c r="A1404" s="62">
        <f ca="1">IFERROR(__xludf.DUMMYFUNCTION("""COMPUTED_VALUE"""),10140093)</f>
        <v>10140093</v>
      </c>
      <c r="B1404" s="62" t="str">
        <f ca="1">IFERROR(__xludf.DUMMYFUNCTION("""COMPUTED_VALUE"""),"Camara Trasera Xiaomi Poco M3 / F3")</f>
        <v>Camara Trasera Xiaomi Poco M3 / F3</v>
      </c>
      <c r="C1404" s="75">
        <f ca="1">IFERROR(__xludf.DUMMYFUNCTION("""COMPUTED_VALUE"""),100)</f>
        <v>100</v>
      </c>
      <c r="D1404" s="75">
        <f ca="1">IFERROR(__xludf.DUMMYFUNCTION("""COMPUTED_VALUE"""),50)</f>
        <v>50</v>
      </c>
      <c r="E1404" s="76">
        <f ca="1">IFERROR(__xludf.DUMMYFUNCTION("""COMPUTED_VALUE"""),150)</f>
        <v>150</v>
      </c>
      <c r="F1404" s="77">
        <f ca="1">IFERROR(__xludf.DUMMYFUNCTION("""COMPUTED_VALUE"""),10140093)</f>
        <v>10140093</v>
      </c>
      <c r="G1404" s="77" t="str">
        <f t="shared" ca="1" si="5"/>
        <v>si</v>
      </c>
    </row>
    <row r="1405" spans="1:7" ht="12.75" x14ac:dyDescent="0.2">
      <c r="A1405" s="62">
        <f ca="1">IFERROR(__xludf.DUMMYFUNCTION("""COMPUTED_VALUE"""),10140094)</f>
        <v>10140094</v>
      </c>
      <c r="B1405" s="62" t="str">
        <f ca="1">IFERROR(__xludf.DUMMYFUNCTION("""COMPUTED_VALUE"""),"Camara Trasera Xiaomi Redmi Note 7 - 7pro")</f>
        <v>Camara Trasera Xiaomi Redmi Note 7 - 7pro</v>
      </c>
      <c r="C1405" s="75">
        <f ca="1">IFERROR(__xludf.DUMMYFUNCTION("""COMPUTED_VALUE"""),100)</f>
        <v>100</v>
      </c>
      <c r="D1405" s="75">
        <f ca="1">IFERROR(__xludf.DUMMYFUNCTION("""COMPUTED_VALUE"""),50)</f>
        <v>50</v>
      </c>
      <c r="E1405" s="76">
        <f ca="1">IFERROR(__xludf.DUMMYFUNCTION("""COMPUTED_VALUE"""),150)</f>
        <v>150</v>
      </c>
      <c r="F1405" s="77">
        <f ca="1">IFERROR(__xludf.DUMMYFUNCTION("""COMPUTED_VALUE"""),10140094)</f>
        <v>10140094</v>
      </c>
      <c r="G1405" s="77" t="str">
        <f t="shared" ca="1" si="5"/>
        <v>si</v>
      </c>
    </row>
    <row r="1406" spans="1:7" ht="12.75" x14ac:dyDescent="0.2">
      <c r="A1406" s="62">
        <f ca="1">IFERROR(__xludf.DUMMYFUNCTION("""COMPUTED_VALUE"""),10140095)</f>
        <v>10140095</v>
      </c>
      <c r="B1406" s="62" t="str">
        <f ca="1">IFERROR(__xludf.DUMMYFUNCTION("""COMPUTED_VALUE"""),"Camara Trasera Xiaomi Redmi Note 8")</f>
        <v>Camara Trasera Xiaomi Redmi Note 8</v>
      </c>
      <c r="C1406" s="75">
        <f ca="1">IFERROR(__xludf.DUMMYFUNCTION("""COMPUTED_VALUE"""),90)</f>
        <v>90</v>
      </c>
      <c r="D1406" s="75">
        <f ca="1">IFERROR(__xludf.DUMMYFUNCTION("""COMPUTED_VALUE"""),50)</f>
        <v>50</v>
      </c>
      <c r="E1406" s="76">
        <f ca="1">IFERROR(__xludf.DUMMYFUNCTION("""COMPUTED_VALUE"""),140)</f>
        <v>140</v>
      </c>
      <c r="F1406" s="77">
        <f ca="1">IFERROR(__xludf.DUMMYFUNCTION("""COMPUTED_VALUE"""),10140095)</f>
        <v>10140095</v>
      </c>
      <c r="G1406" s="77" t="str">
        <f t="shared" ca="1" si="5"/>
        <v>si</v>
      </c>
    </row>
    <row r="1407" spans="1:7" ht="12.75" x14ac:dyDescent="0.2">
      <c r="A1407" s="62">
        <f ca="1">IFERROR(__xludf.DUMMYFUNCTION("""COMPUTED_VALUE"""),10140096)</f>
        <v>10140096</v>
      </c>
      <c r="B1407" s="62" t="str">
        <f ca="1">IFERROR(__xludf.DUMMYFUNCTION("""COMPUTED_VALUE"""),"Camara Trasera Xiaomi Redmi Note 9  PRO / Note 9s")</f>
        <v>Camara Trasera Xiaomi Redmi Note 9  PRO / Note 9s</v>
      </c>
      <c r="C1407" s="75">
        <f ca="1">IFERROR(__xludf.DUMMYFUNCTION("""COMPUTED_VALUE"""),100)</f>
        <v>100</v>
      </c>
      <c r="D1407" s="75">
        <f ca="1">IFERROR(__xludf.DUMMYFUNCTION("""COMPUTED_VALUE"""),50)</f>
        <v>50</v>
      </c>
      <c r="E1407" s="76">
        <f ca="1">IFERROR(__xludf.DUMMYFUNCTION("""COMPUTED_VALUE"""),150)</f>
        <v>150</v>
      </c>
      <c r="F1407" s="77">
        <f ca="1">IFERROR(__xludf.DUMMYFUNCTION("""COMPUTED_VALUE"""),10140096)</f>
        <v>10140096</v>
      </c>
      <c r="G1407" s="77" t="str">
        <f t="shared" ca="1" si="5"/>
        <v>si</v>
      </c>
    </row>
    <row r="1408" spans="1:7" ht="12.75" x14ac:dyDescent="0.2">
      <c r="A1408" s="62">
        <f ca="1">IFERROR(__xludf.DUMMYFUNCTION("""COMPUTED_VALUE"""),10140098)</f>
        <v>10140098</v>
      </c>
      <c r="B1408" s="62" t="str">
        <f ca="1">IFERROR(__xludf.DUMMYFUNCTION("""COMPUTED_VALUE"""),"Camara Trasera Xiaomi  Redmi Note 9T - Note 9 5G")</f>
        <v>Camara Trasera Xiaomi  Redmi Note 9T - Note 9 5G</v>
      </c>
      <c r="C1408" s="75">
        <f ca="1">IFERROR(__xludf.DUMMYFUNCTION("""COMPUTED_VALUE"""),120)</f>
        <v>120</v>
      </c>
      <c r="D1408" s="75">
        <f ca="1">IFERROR(__xludf.DUMMYFUNCTION("""COMPUTED_VALUE"""),50)</f>
        <v>50</v>
      </c>
      <c r="E1408" s="76">
        <f ca="1">IFERROR(__xludf.DUMMYFUNCTION("""COMPUTED_VALUE"""),170)</f>
        <v>170</v>
      </c>
      <c r="F1408" s="77">
        <f ca="1">IFERROR(__xludf.DUMMYFUNCTION("""COMPUTED_VALUE"""),10140098)</f>
        <v>10140098</v>
      </c>
      <c r="G1408" s="77" t="str">
        <f t="shared" ca="1" si="5"/>
        <v>si</v>
      </c>
    </row>
    <row r="1409" spans="1:7" ht="12.75" x14ac:dyDescent="0.2">
      <c r="A1409" s="62">
        <f ca="1">IFERROR(__xludf.DUMMYFUNCTION("""COMPUTED_VALUE"""),10140099)</f>
        <v>10140099</v>
      </c>
      <c r="B1409" s="62" t="str">
        <f ca="1">IFERROR(__xludf.DUMMYFUNCTION("""COMPUTED_VALUE"""),"Camara Trasera Xiaomi Redmi Note 10s / Note 10 Kit Completo")</f>
        <v>Camara Trasera Xiaomi Redmi Note 10s / Note 10 Kit Completo</v>
      </c>
      <c r="C1409" s="75">
        <f ca="1">IFERROR(__xludf.DUMMYFUNCTION("""COMPUTED_VALUE"""),110)</f>
        <v>110</v>
      </c>
      <c r="D1409" s="75">
        <f ca="1">IFERROR(__xludf.DUMMYFUNCTION("""COMPUTED_VALUE"""),50)</f>
        <v>50</v>
      </c>
      <c r="E1409" s="76">
        <f ca="1">IFERROR(__xludf.DUMMYFUNCTION("""COMPUTED_VALUE"""),160)</f>
        <v>160</v>
      </c>
      <c r="F1409" s="77">
        <f ca="1">IFERROR(__xludf.DUMMYFUNCTION("""COMPUTED_VALUE"""),10140099)</f>
        <v>10140099</v>
      </c>
      <c r="G1409" s="77" t="str">
        <f t="shared" ca="1" si="5"/>
        <v>si</v>
      </c>
    </row>
    <row r="1410" spans="1:7" ht="12.75" x14ac:dyDescent="0.2">
      <c r="A1410" s="62">
        <f ca="1">IFERROR(__xludf.DUMMYFUNCTION("""COMPUTED_VALUE"""),10140100)</f>
        <v>10140100</v>
      </c>
      <c r="B1410" s="62" t="str">
        <f ca="1">IFERROR(__xludf.DUMMYFUNCTION("""COMPUTED_VALUE"""),"Camara Trasera Xiaomi MI Note 10 Pro /Note 10 / Note 10 lite ")</f>
        <v xml:space="preserve">Camara Trasera Xiaomi MI Note 10 Pro /Note 10 / Note 10 lite </v>
      </c>
      <c r="C1410" s="75">
        <f ca="1">IFERROR(__xludf.DUMMYFUNCTION("""COMPUTED_VALUE"""),110)</f>
        <v>110</v>
      </c>
      <c r="D1410" s="75">
        <f ca="1">IFERROR(__xludf.DUMMYFUNCTION("""COMPUTED_VALUE"""),50)</f>
        <v>50</v>
      </c>
      <c r="E1410" s="76">
        <f ca="1">IFERROR(__xludf.DUMMYFUNCTION("""COMPUTED_VALUE"""),160)</f>
        <v>160</v>
      </c>
      <c r="F1410" s="77">
        <f ca="1">IFERROR(__xludf.DUMMYFUNCTION("""COMPUTED_VALUE"""),10140100)</f>
        <v>10140100</v>
      </c>
      <c r="G1410" s="77" t="str">
        <f t="shared" ca="1" si="5"/>
        <v>si</v>
      </c>
    </row>
    <row r="1411" spans="1:7" ht="12.75" x14ac:dyDescent="0.2">
      <c r="A1411" s="62">
        <f ca="1">IFERROR(__xludf.DUMMYFUNCTION("""COMPUTED_VALUE"""),10140101)</f>
        <v>10140101</v>
      </c>
      <c r="B1411" s="62" t="str">
        <f ca="1">IFERROR(__xludf.DUMMYFUNCTION("""COMPUTED_VALUE"""),"Camara Trasera Xiaomi Redmi 7")</f>
        <v>Camara Trasera Xiaomi Redmi 7</v>
      </c>
      <c r="C1411" s="75">
        <f ca="1">IFERROR(__xludf.DUMMYFUNCTION("""COMPUTED_VALUE"""),100)</f>
        <v>100</v>
      </c>
      <c r="D1411" s="75">
        <f ca="1">IFERROR(__xludf.DUMMYFUNCTION("""COMPUTED_VALUE"""),50)</f>
        <v>50</v>
      </c>
      <c r="E1411" s="76">
        <f ca="1">IFERROR(__xludf.DUMMYFUNCTION("""COMPUTED_VALUE"""),150)</f>
        <v>150</v>
      </c>
      <c r="F1411" s="77">
        <f ca="1">IFERROR(__xludf.DUMMYFUNCTION("""COMPUTED_VALUE"""),10140101)</f>
        <v>10140101</v>
      </c>
      <c r="G1411" s="77" t="str">
        <f t="shared" ca="1" si="5"/>
        <v>si</v>
      </c>
    </row>
    <row r="1412" spans="1:7" ht="12.75" x14ac:dyDescent="0.2">
      <c r="A1412" s="62">
        <f ca="1">IFERROR(__xludf.DUMMYFUNCTION("""COMPUTED_VALUE"""),10140102)</f>
        <v>10140102</v>
      </c>
      <c r="B1412" s="62" t="str">
        <f ca="1">IFERROR(__xludf.DUMMYFUNCTION("""COMPUTED_VALUE"""),"Camara Trasera Xiaomi Redmi 7A")</f>
        <v>Camara Trasera Xiaomi Redmi 7A</v>
      </c>
      <c r="C1412" s="75">
        <f ca="1">IFERROR(__xludf.DUMMYFUNCTION("""COMPUTED_VALUE"""),80)</f>
        <v>80</v>
      </c>
      <c r="D1412" s="75">
        <f ca="1">IFERROR(__xludf.DUMMYFUNCTION("""COMPUTED_VALUE"""),50)</f>
        <v>50</v>
      </c>
      <c r="E1412" s="76">
        <f ca="1">IFERROR(__xludf.DUMMYFUNCTION("""COMPUTED_VALUE"""),130)</f>
        <v>130</v>
      </c>
      <c r="F1412" s="77">
        <f ca="1">IFERROR(__xludf.DUMMYFUNCTION("""COMPUTED_VALUE"""),10140102)</f>
        <v>10140102</v>
      </c>
      <c r="G1412" s="77" t="str">
        <f t="shared" ca="1" si="5"/>
        <v>si</v>
      </c>
    </row>
    <row r="1413" spans="1:7" ht="12.75" x14ac:dyDescent="0.2">
      <c r="A1413" s="62">
        <f ca="1">IFERROR(__xludf.DUMMYFUNCTION("""COMPUTED_VALUE"""),10140103)</f>
        <v>10140103</v>
      </c>
      <c r="B1413" s="62" t="str">
        <f ca="1">IFERROR(__xludf.DUMMYFUNCTION("""COMPUTED_VALUE"""),"Camara Trasera Xiaomi Redmi 9T")</f>
        <v>Camara Trasera Xiaomi Redmi 9T</v>
      </c>
      <c r="C1413" s="75">
        <f ca="1">IFERROR(__xludf.DUMMYFUNCTION("""COMPUTED_VALUE"""),100)</f>
        <v>100</v>
      </c>
      <c r="D1413" s="75">
        <f ca="1">IFERROR(__xludf.DUMMYFUNCTION("""COMPUTED_VALUE"""),50)</f>
        <v>50</v>
      </c>
      <c r="E1413" s="76">
        <f ca="1">IFERROR(__xludf.DUMMYFUNCTION("""COMPUTED_VALUE"""),150)</f>
        <v>150</v>
      </c>
      <c r="F1413" s="77">
        <f ca="1">IFERROR(__xludf.DUMMYFUNCTION("""COMPUTED_VALUE"""),10140103)</f>
        <v>10140103</v>
      </c>
      <c r="G1413" s="77" t="str">
        <f t="shared" ca="1" si="5"/>
        <v>si</v>
      </c>
    </row>
    <row r="1414" spans="1:7" ht="12.75" x14ac:dyDescent="0.2">
      <c r="A1414" s="62">
        <f ca="1">IFERROR(__xludf.DUMMYFUNCTION("""COMPUTED_VALUE"""),10140104)</f>
        <v>10140104</v>
      </c>
      <c r="B1414" s="62" t="str">
        <f ca="1">IFERROR(__xludf.DUMMYFUNCTION("""COMPUTED_VALUE"""),"Camara Trasera Xiaomi Redmi Note 10 Pro")</f>
        <v>Camara Trasera Xiaomi Redmi Note 10 Pro</v>
      </c>
      <c r="C1414" s="75">
        <f ca="1">IFERROR(__xludf.DUMMYFUNCTION("""COMPUTED_VALUE"""),110)</f>
        <v>110</v>
      </c>
      <c r="D1414" s="75">
        <f ca="1">IFERROR(__xludf.DUMMYFUNCTION("""COMPUTED_VALUE"""),50)</f>
        <v>50</v>
      </c>
      <c r="E1414" s="76">
        <f ca="1">IFERROR(__xludf.DUMMYFUNCTION("""COMPUTED_VALUE"""),160)</f>
        <v>160</v>
      </c>
      <c r="F1414" s="77">
        <f ca="1">IFERROR(__xludf.DUMMYFUNCTION("""COMPUTED_VALUE"""),10140104)</f>
        <v>10140104</v>
      </c>
      <c r="G1414" s="77" t="str">
        <f t="shared" ca="1" si="5"/>
        <v>si</v>
      </c>
    </row>
    <row r="1415" spans="1:7" ht="12.75" x14ac:dyDescent="0.2">
      <c r="A1415" s="62">
        <f ca="1">IFERROR(__xludf.DUMMYFUNCTION("""COMPUTED_VALUE"""),10140105)</f>
        <v>10140105</v>
      </c>
      <c r="B1415" s="62" t="str">
        <f ca="1">IFERROR(__xludf.DUMMYFUNCTION("""COMPUTED_VALUE"""),"Camara Trasera Xiaomi Mi 8 Lite Kit Completo")</f>
        <v>Camara Trasera Xiaomi Mi 8 Lite Kit Completo</v>
      </c>
      <c r="C1415" s="75">
        <f ca="1">IFERROR(__xludf.DUMMYFUNCTION("""COMPUTED_VALUE"""),100)</f>
        <v>100</v>
      </c>
      <c r="D1415" s="75">
        <f ca="1">IFERROR(__xludf.DUMMYFUNCTION("""COMPUTED_VALUE"""),50)</f>
        <v>50</v>
      </c>
      <c r="E1415" s="76">
        <f ca="1">IFERROR(__xludf.DUMMYFUNCTION("""COMPUTED_VALUE"""),150)</f>
        <v>150</v>
      </c>
      <c r="F1415" s="77">
        <f ca="1">IFERROR(__xludf.DUMMYFUNCTION("""COMPUTED_VALUE"""),10140105)</f>
        <v>10140105</v>
      </c>
      <c r="G1415" s="77" t="str">
        <f t="shared" ca="1" si="5"/>
        <v>si</v>
      </c>
    </row>
    <row r="1416" spans="1:7" ht="12.75" x14ac:dyDescent="0.2">
      <c r="A1416" s="62">
        <f ca="1">IFERROR(__xludf.DUMMYFUNCTION("""COMPUTED_VALUE"""),10140106)</f>
        <v>10140106</v>
      </c>
      <c r="B1416" s="62" t="str">
        <f ca="1">IFERROR(__xludf.DUMMYFUNCTION("""COMPUTED_VALUE"""),"Camara Trasera Xiaomi Mi 9 Lite")</f>
        <v>Camara Trasera Xiaomi Mi 9 Lite</v>
      </c>
      <c r="C1416" s="75">
        <f ca="1">IFERROR(__xludf.DUMMYFUNCTION("""COMPUTED_VALUE"""),100)</f>
        <v>100</v>
      </c>
      <c r="D1416" s="75">
        <f ca="1">IFERROR(__xludf.DUMMYFUNCTION("""COMPUTED_VALUE"""),50)</f>
        <v>50</v>
      </c>
      <c r="E1416" s="76">
        <f ca="1">IFERROR(__xludf.DUMMYFUNCTION("""COMPUTED_VALUE"""),150)</f>
        <v>150</v>
      </c>
      <c r="F1416" s="77">
        <f ca="1">IFERROR(__xludf.DUMMYFUNCTION("""COMPUTED_VALUE"""),10140106)</f>
        <v>10140106</v>
      </c>
      <c r="G1416" s="77" t="str">
        <f t="shared" ca="1" si="5"/>
        <v>si</v>
      </c>
    </row>
    <row r="1417" spans="1:7" ht="12.75" x14ac:dyDescent="0.2">
      <c r="A1417" s="62">
        <f ca="1">IFERROR(__xludf.DUMMYFUNCTION("""COMPUTED_VALUE"""),10140107)</f>
        <v>10140107</v>
      </c>
      <c r="B1417" s="62" t="str">
        <f ca="1">IFERROR(__xludf.DUMMYFUNCTION("""COMPUTED_VALUE"""),"Camara Trasera Xiaomi Mi 9SE Kit Completo")</f>
        <v>Camara Trasera Xiaomi Mi 9SE Kit Completo</v>
      </c>
      <c r="C1417" s="75">
        <f ca="1">IFERROR(__xludf.DUMMYFUNCTION("""COMPUTED_VALUE"""),90)</f>
        <v>90</v>
      </c>
      <c r="D1417" s="75">
        <f ca="1">IFERROR(__xludf.DUMMYFUNCTION("""COMPUTED_VALUE"""),50)</f>
        <v>50</v>
      </c>
      <c r="E1417" s="76">
        <f ca="1">IFERROR(__xludf.DUMMYFUNCTION("""COMPUTED_VALUE"""),140)</f>
        <v>140</v>
      </c>
      <c r="F1417" s="77">
        <f ca="1">IFERROR(__xludf.DUMMYFUNCTION("""COMPUTED_VALUE"""),10140107)</f>
        <v>10140107</v>
      </c>
      <c r="G1417" s="77" t="str">
        <f t="shared" ca="1" si="5"/>
        <v>si</v>
      </c>
    </row>
    <row r="1418" spans="1:7" ht="12.75" x14ac:dyDescent="0.2">
      <c r="A1418" s="62">
        <f ca="1">IFERROR(__xludf.DUMMYFUNCTION("""COMPUTED_VALUE"""),10140108)</f>
        <v>10140108</v>
      </c>
      <c r="B1418" s="62" t="str">
        <f ca="1">IFERROR(__xludf.DUMMYFUNCTION("""COMPUTED_VALUE"""),"Camara Trasera Xiaomi Mi 10T / mi 10T Pro")</f>
        <v>Camara Trasera Xiaomi Mi 10T / mi 10T Pro</v>
      </c>
      <c r="C1418" s="75">
        <f ca="1">IFERROR(__xludf.DUMMYFUNCTION("""COMPUTED_VALUE"""),150)</f>
        <v>150</v>
      </c>
      <c r="D1418" s="75">
        <f ca="1">IFERROR(__xludf.DUMMYFUNCTION("""COMPUTED_VALUE"""),50)</f>
        <v>50</v>
      </c>
      <c r="E1418" s="76">
        <f ca="1">IFERROR(__xludf.DUMMYFUNCTION("""COMPUTED_VALUE"""),200)</f>
        <v>200</v>
      </c>
      <c r="F1418" s="77">
        <f ca="1">IFERROR(__xludf.DUMMYFUNCTION("""COMPUTED_VALUE"""),10140108)</f>
        <v>10140108</v>
      </c>
      <c r="G1418" s="77" t="str">
        <f t="shared" ca="1" si="5"/>
        <v>si</v>
      </c>
    </row>
    <row r="1419" spans="1:7" ht="12.75" x14ac:dyDescent="0.2">
      <c r="A1419" s="62">
        <f ca="1">IFERROR(__xludf.DUMMYFUNCTION("""COMPUTED_VALUE"""),10140109)</f>
        <v>10140109</v>
      </c>
      <c r="B1419" s="62" t="str">
        <f ca="1">IFERROR(__xludf.DUMMYFUNCTION("""COMPUTED_VALUE"""),"Camara Trasera Xiaomi Mi 11 Lite")</f>
        <v>Camara Trasera Xiaomi Mi 11 Lite</v>
      </c>
      <c r="C1419" s="75">
        <f ca="1">IFERROR(__xludf.DUMMYFUNCTION("""COMPUTED_VALUE"""),110)</f>
        <v>110</v>
      </c>
      <c r="D1419" s="75">
        <f ca="1">IFERROR(__xludf.DUMMYFUNCTION("""COMPUTED_VALUE"""),50)</f>
        <v>50</v>
      </c>
      <c r="E1419" s="76">
        <f ca="1">IFERROR(__xludf.DUMMYFUNCTION("""COMPUTED_VALUE"""),160)</f>
        <v>160</v>
      </c>
      <c r="F1419" s="77">
        <f ca="1">IFERROR(__xludf.DUMMYFUNCTION("""COMPUTED_VALUE"""),10140109)</f>
        <v>10140109</v>
      </c>
      <c r="G1419" s="77" t="str">
        <f t="shared" ca="1" si="5"/>
        <v>si</v>
      </c>
    </row>
    <row r="1420" spans="1:7" ht="12.75" x14ac:dyDescent="0.2">
      <c r="A1420" s="62">
        <f ca="1">IFERROR(__xludf.DUMMYFUNCTION("""COMPUTED_VALUE"""),10140110)</f>
        <v>10140110</v>
      </c>
      <c r="B1420" s="62" t="str">
        <f ca="1">IFERROR(__xludf.DUMMYFUNCTION("""COMPUTED_VALUE"""),"Camara Trasera Samsung S20 Set Completo")</f>
        <v>Camara Trasera Samsung S20 Set Completo</v>
      </c>
      <c r="C1420" s="75">
        <f ca="1">IFERROR(__xludf.DUMMYFUNCTION("""COMPUTED_VALUE"""),370)</f>
        <v>370</v>
      </c>
      <c r="D1420" s="75">
        <f ca="1">IFERROR(__xludf.DUMMYFUNCTION("""COMPUTED_VALUE"""),50)</f>
        <v>50</v>
      </c>
      <c r="E1420" s="76">
        <f ca="1">IFERROR(__xludf.DUMMYFUNCTION("""COMPUTED_VALUE"""),420)</f>
        <v>420</v>
      </c>
      <c r="F1420" s="77">
        <f ca="1">IFERROR(__xludf.DUMMYFUNCTION("""COMPUTED_VALUE"""),10140110)</f>
        <v>10140110</v>
      </c>
      <c r="G1420" s="77" t="str">
        <f t="shared" ca="1" si="5"/>
        <v>si</v>
      </c>
    </row>
    <row r="1421" spans="1:7" ht="12.75" x14ac:dyDescent="0.2">
      <c r="A1421" s="62">
        <f ca="1">IFERROR(__xludf.DUMMYFUNCTION("""COMPUTED_VALUE"""),10080362)</f>
        <v>10080362</v>
      </c>
      <c r="B1421" s="62" t="str">
        <f ca="1">IFERROR(__xludf.DUMMYFUNCTION("""COMPUTED_VALUE"""),"Camara Trasera Samsung A32 4G Kit Completo")</f>
        <v>Camara Trasera Samsung A32 4G Kit Completo</v>
      </c>
      <c r="C1421" s="75">
        <f ca="1">IFERROR(__xludf.DUMMYFUNCTION("""COMPUTED_VALUE"""),150)</f>
        <v>150</v>
      </c>
      <c r="D1421" s="75">
        <f ca="1">IFERROR(__xludf.DUMMYFUNCTION("""COMPUTED_VALUE"""),50)</f>
        <v>50</v>
      </c>
      <c r="E1421" s="76">
        <f ca="1">IFERROR(__xludf.DUMMYFUNCTION("""COMPUTED_VALUE"""),200)</f>
        <v>200</v>
      </c>
      <c r="F1421" s="77">
        <f ca="1">IFERROR(__xludf.DUMMYFUNCTION("""COMPUTED_VALUE"""),10080362)</f>
        <v>10080362</v>
      </c>
      <c r="G1421" s="77" t="str">
        <f t="shared" ca="1" si="5"/>
        <v>si</v>
      </c>
    </row>
    <row r="1422" spans="1:7" ht="12.75" x14ac:dyDescent="0.2">
      <c r="A1422" s="62">
        <f ca="1">IFERROR(__xludf.DUMMYFUNCTION("""COMPUTED_VALUE"""),10080363)</f>
        <v>10080363</v>
      </c>
      <c r="B1422" s="62" t="str">
        <f ca="1">IFERROR(__xludf.DUMMYFUNCTION("""COMPUTED_VALUE"""),"Camara Trasera Samsung A71")</f>
        <v>Camara Trasera Samsung A71</v>
      </c>
      <c r="C1422" s="75">
        <f ca="1">IFERROR(__xludf.DUMMYFUNCTION("""COMPUTED_VALUE"""),150)</f>
        <v>150</v>
      </c>
      <c r="D1422" s="75">
        <f ca="1">IFERROR(__xludf.DUMMYFUNCTION("""COMPUTED_VALUE"""),50)</f>
        <v>50</v>
      </c>
      <c r="E1422" s="76">
        <f ca="1">IFERROR(__xludf.DUMMYFUNCTION("""COMPUTED_VALUE"""),200)</f>
        <v>200</v>
      </c>
      <c r="F1422" s="77">
        <f ca="1">IFERROR(__xludf.DUMMYFUNCTION("""COMPUTED_VALUE"""),10080363)</f>
        <v>10080363</v>
      </c>
      <c r="G1422" s="77" t="str">
        <f t="shared" ca="1" si="5"/>
        <v>si</v>
      </c>
    </row>
    <row r="1423" spans="1:7" ht="12.75" x14ac:dyDescent="0.2">
      <c r="A1423" s="62"/>
      <c r="B1423" s="62"/>
      <c r="C1423" s="75">
        <f ca="1">IFERROR(__xludf.DUMMYFUNCTION("""COMPUTED_VALUE"""),0)</f>
        <v>0</v>
      </c>
      <c r="D1423" s="75">
        <f ca="1">IFERROR(__xludf.DUMMYFUNCTION("""COMPUTED_VALUE"""),0)</f>
        <v>0</v>
      </c>
      <c r="E1423" s="76">
        <f ca="1">IFERROR(__xludf.DUMMYFUNCTION("""COMPUTED_VALUE"""),0)</f>
        <v>0</v>
      </c>
      <c r="F1423" s="77"/>
      <c r="G1423" s="77" t="str">
        <f t="shared" si="5"/>
        <v>si</v>
      </c>
    </row>
    <row r="1424" spans="1:7" ht="12.75" x14ac:dyDescent="0.2">
      <c r="A1424" s="62">
        <f ca="1">IFERROR(__xludf.DUMMYFUNCTION("""COMPUTED_VALUE"""),10080365)</f>
        <v>10080365</v>
      </c>
      <c r="B1424" s="62" t="str">
        <f ca="1">IFERROR(__xludf.DUMMYFUNCTION("""COMPUTED_VALUE"""),"Camara Trasera Huawei  P30")</f>
        <v>Camara Trasera Huawei  P30</v>
      </c>
      <c r="C1424" s="75">
        <f ca="1">IFERROR(__xludf.DUMMYFUNCTION("""COMPUTED_VALUE"""),150)</f>
        <v>150</v>
      </c>
      <c r="D1424" s="75">
        <f ca="1">IFERROR(__xludf.DUMMYFUNCTION("""COMPUTED_VALUE"""),50)</f>
        <v>50</v>
      </c>
      <c r="E1424" s="76">
        <f ca="1">IFERROR(__xludf.DUMMYFUNCTION("""COMPUTED_VALUE"""),200)</f>
        <v>200</v>
      </c>
      <c r="F1424" s="77">
        <f ca="1">IFERROR(__xludf.DUMMYFUNCTION("""COMPUTED_VALUE"""),10080365)</f>
        <v>10080365</v>
      </c>
      <c r="G1424" s="77" t="str">
        <f t="shared" ca="1" si="5"/>
        <v>si</v>
      </c>
    </row>
    <row r="1425" spans="1:7" ht="12.75" x14ac:dyDescent="0.2">
      <c r="A1425" s="62">
        <f ca="1">IFERROR(__xludf.DUMMYFUNCTION("""COMPUTED_VALUE"""),10080366)</f>
        <v>10080366</v>
      </c>
      <c r="B1425" s="62" t="str">
        <f ca="1">IFERROR(__xludf.DUMMYFUNCTION("""COMPUTED_VALUE"""),"Camara Trasera Huawei P30 Pro")</f>
        <v>Camara Trasera Huawei P30 Pro</v>
      </c>
      <c r="C1425" s="75">
        <f ca="1">IFERROR(__xludf.DUMMYFUNCTION("""COMPUTED_VALUE"""),150)</f>
        <v>150</v>
      </c>
      <c r="D1425" s="75">
        <f ca="1">IFERROR(__xludf.DUMMYFUNCTION("""COMPUTED_VALUE"""),50)</f>
        <v>50</v>
      </c>
      <c r="E1425" s="76">
        <f ca="1">IFERROR(__xludf.DUMMYFUNCTION("""COMPUTED_VALUE"""),200)</f>
        <v>200</v>
      </c>
      <c r="F1425" s="77">
        <f ca="1">IFERROR(__xludf.DUMMYFUNCTION("""COMPUTED_VALUE"""),10080366)</f>
        <v>10080366</v>
      </c>
      <c r="G1425" s="77" t="str">
        <f t="shared" ca="1" si="5"/>
        <v>si</v>
      </c>
    </row>
    <row r="1426" spans="1:7" ht="12.75" x14ac:dyDescent="0.2">
      <c r="A1426" s="62">
        <f ca="1">IFERROR(__xludf.DUMMYFUNCTION("""COMPUTED_VALUE"""),10080367)</f>
        <v>10080367</v>
      </c>
      <c r="B1426" s="62" t="str">
        <f ca="1">IFERROR(__xludf.DUMMYFUNCTION("""COMPUTED_VALUE"""),"Camara Trasera  Iphone 13")</f>
        <v>Camara Trasera  Iphone 13</v>
      </c>
      <c r="C1426" s="75">
        <f ca="1">IFERROR(__xludf.DUMMYFUNCTION("""COMPUTED_VALUE"""),400)</f>
        <v>400</v>
      </c>
      <c r="D1426" s="75">
        <f ca="1">IFERROR(__xludf.DUMMYFUNCTION("""COMPUTED_VALUE"""),50)</f>
        <v>50</v>
      </c>
      <c r="E1426" s="76">
        <f ca="1">IFERROR(__xludf.DUMMYFUNCTION("""COMPUTED_VALUE"""),450)</f>
        <v>450</v>
      </c>
      <c r="F1426" s="77">
        <f ca="1">IFERROR(__xludf.DUMMYFUNCTION("""COMPUTED_VALUE"""),10080367)</f>
        <v>10080367</v>
      </c>
      <c r="G1426" s="77" t="str">
        <f t="shared" ca="1" si="5"/>
        <v>si</v>
      </c>
    </row>
    <row r="1427" spans="1:7" ht="12.75" x14ac:dyDescent="0.2">
      <c r="A1427" s="62"/>
      <c r="B1427" s="62"/>
      <c r="C1427" s="62"/>
      <c r="D1427" s="62"/>
      <c r="E1427" s="76">
        <f ca="1">IFERROR(__xludf.DUMMYFUNCTION("""COMPUTED_VALUE"""),0)</f>
        <v>0</v>
      </c>
      <c r="F1427" s="77"/>
      <c r="G1427" s="77" t="str">
        <f t="shared" si="5"/>
        <v>si</v>
      </c>
    </row>
    <row r="1428" spans="1:7" ht="12.75" x14ac:dyDescent="0.2">
      <c r="A1428" s="62">
        <f ca="1">IFERROR(__xludf.DUMMYFUNCTION("""COMPUTED_VALUE"""),10080381)</f>
        <v>10080381</v>
      </c>
      <c r="B1428" s="62" t="str">
        <f ca="1">IFERROR(__xludf.DUMMYFUNCTION("""COMPUTED_VALUE"""),"Camara Trasera Huawei P40 Pro")</f>
        <v>Camara Trasera Huawei P40 Pro</v>
      </c>
      <c r="C1428" s="75">
        <f ca="1">IFERROR(__xludf.DUMMYFUNCTION("""COMPUTED_VALUE"""),70)</f>
        <v>70</v>
      </c>
      <c r="D1428" s="75">
        <f ca="1">IFERROR(__xludf.DUMMYFUNCTION("""COMPUTED_VALUE"""),50)</f>
        <v>50</v>
      </c>
      <c r="E1428" s="76">
        <f ca="1">IFERROR(__xludf.DUMMYFUNCTION("""COMPUTED_VALUE"""),120)</f>
        <v>120</v>
      </c>
      <c r="F1428" s="77">
        <f ca="1">IFERROR(__xludf.DUMMYFUNCTION("""COMPUTED_VALUE"""),10080381)</f>
        <v>10080381</v>
      </c>
      <c r="G1428" s="77" t="str">
        <f t="shared" ca="1" si="5"/>
        <v>si</v>
      </c>
    </row>
    <row r="1429" spans="1:7" ht="12.75" x14ac:dyDescent="0.2">
      <c r="A1429" s="62">
        <f ca="1">IFERROR(__xludf.DUMMYFUNCTION("""COMPUTED_VALUE"""),10160114)</f>
        <v>10160114</v>
      </c>
      <c r="B1429" s="62" t="str">
        <f ca="1">IFERROR(__xludf.DUMMYFUNCTION("""COMPUTED_VALUE"""),"Flex Volumen + Encendido 6G")</f>
        <v>Flex Volumen + Encendido 6G</v>
      </c>
      <c r="C1429" s="75">
        <f ca="1">IFERROR(__xludf.DUMMYFUNCTION("""COMPUTED_VALUE"""),40)</f>
        <v>40</v>
      </c>
      <c r="D1429" s="75">
        <f ca="1">IFERROR(__xludf.DUMMYFUNCTION("""COMPUTED_VALUE"""),50)</f>
        <v>50</v>
      </c>
      <c r="E1429" s="76">
        <f ca="1">IFERROR(__xludf.DUMMYFUNCTION("""COMPUTED_VALUE"""),90)</f>
        <v>90</v>
      </c>
      <c r="F1429" s="77">
        <f ca="1">IFERROR(__xludf.DUMMYFUNCTION("""COMPUTED_VALUE"""),10160114)</f>
        <v>10160114</v>
      </c>
      <c r="G1429" s="77" t="str">
        <f t="shared" ca="1" si="5"/>
        <v>si</v>
      </c>
    </row>
    <row r="1430" spans="1:7" ht="12.75" x14ac:dyDescent="0.2">
      <c r="A1430" s="62">
        <f ca="1">IFERROR(__xludf.DUMMYFUNCTION("""COMPUTED_VALUE"""),10160115)</f>
        <v>10160115</v>
      </c>
      <c r="B1430" s="62" t="str">
        <f ca="1">IFERROR(__xludf.DUMMYFUNCTION("""COMPUTED_VALUE"""),"Flex Volumen + Encendido 6P  (encendido)")</f>
        <v>Flex Volumen + Encendido 6P  (encendido)</v>
      </c>
      <c r="C1430" s="75">
        <f ca="1">IFERROR(__xludf.DUMMYFUNCTION("""COMPUTED_VALUE"""),40)</f>
        <v>40</v>
      </c>
      <c r="D1430" s="75">
        <f ca="1">IFERROR(__xludf.DUMMYFUNCTION("""COMPUTED_VALUE"""),50)</f>
        <v>50</v>
      </c>
      <c r="E1430" s="76">
        <f ca="1">IFERROR(__xludf.DUMMYFUNCTION("""COMPUTED_VALUE"""),90)</f>
        <v>90</v>
      </c>
      <c r="F1430" s="77">
        <f ca="1">IFERROR(__xludf.DUMMYFUNCTION("""COMPUTED_VALUE"""),10160115)</f>
        <v>10160115</v>
      </c>
      <c r="G1430" s="77" t="str">
        <f t="shared" ca="1" si="5"/>
        <v>si</v>
      </c>
    </row>
    <row r="1431" spans="1:7" ht="12.75" x14ac:dyDescent="0.2">
      <c r="A1431" s="62">
        <f ca="1">IFERROR(__xludf.DUMMYFUNCTION("""COMPUTED_VALUE"""),10160116)</f>
        <v>10160116</v>
      </c>
      <c r="B1431" s="62" t="str">
        <f ca="1">IFERROR(__xludf.DUMMYFUNCTION("""COMPUTED_VALUE"""),"Flex Volumen + Encendido 6S")</f>
        <v>Flex Volumen + Encendido 6S</v>
      </c>
      <c r="C1431" s="75">
        <f ca="1">IFERROR(__xludf.DUMMYFUNCTION("""COMPUTED_VALUE"""),40)</f>
        <v>40</v>
      </c>
      <c r="D1431" s="75">
        <f ca="1">IFERROR(__xludf.DUMMYFUNCTION("""COMPUTED_VALUE"""),50)</f>
        <v>50</v>
      </c>
      <c r="E1431" s="76">
        <f ca="1">IFERROR(__xludf.DUMMYFUNCTION("""COMPUTED_VALUE"""),90)</f>
        <v>90</v>
      </c>
      <c r="F1431" s="77">
        <f ca="1">IFERROR(__xludf.DUMMYFUNCTION("""COMPUTED_VALUE"""),10160116)</f>
        <v>10160116</v>
      </c>
      <c r="G1431" s="77" t="str">
        <f t="shared" ca="1" si="5"/>
        <v>si</v>
      </c>
    </row>
    <row r="1432" spans="1:7" ht="12.75" x14ac:dyDescent="0.2">
      <c r="A1432" s="62">
        <f ca="1">IFERROR(__xludf.DUMMYFUNCTION("""COMPUTED_VALUE"""),10160117)</f>
        <v>10160117</v>
      </c>
      <c r="B1432" s="62" t="str">
        <f ca="1">IFERROR(__xludf.DUMMYFUNCTION("""COMPUTED_VALUE"""),"Flex Volumen + Encendido 6SP")</f>
        <v>Flex Volumen + Encendido 6SP</v>
      </c>
      <c r="C1432" s="75">
        <f ca="1">IFERROR(__xludf.DUMMYFUNCTION("""COMPUTED_VALUE"""),40)</f>
        <v>40</v>
      </c>
      <c r="D1432" s="75">
        <f ca="1">IFERROR(__xludf.DUMMYFUNCTION("""COMPUTED_VALUE"""),50)</f>
        <v>50</v>
      </c>
      <c r="E1432" s="76">
        <f ca="1">IFERROR(__xludf.DUMMYFUNCTION("""COMPUTED_VALUE"""),90)</f>
        <v>90</v>
      </c>
      <c r="F1432" s="77">
        <f ca="1">IFERROR(__xludf.DUMMYFUNCTION("""COMPUTED_VALUE"""),10160117)</f>
        <v>10160117</v>
      </c>
      <c r="G1432" s="77" t="str">
        <f t="shared" ca="1" si="5"/>
        <v>si</v>
      </c>
    </row>
    <row r="1433" spans="1:7" ht="12.75" x14ac:dyDescent="0.2">
      <c r="A1433" s="62">
        <f ca="1">IFERROR(__xludf.DUMMYFUNCTION("""COMPUTED_VALUE"""),10160118)</f>
        <v>10160118</v>
      </c>
      <c r="B1433" s="62" t="str">
        <f ca="1">IFERROR(__xludf.DUMMYFUNCTION("""COMPUTED_VALUE"""),"Flex Volumen + Encendido 7G")</f>
        <v>Flex Volumen + Encendido 7G</v>
      </c>
      <c r="C1433" s="75">
        <f ca="1">IFERROR(__xludf.DUMMYFUNCTION("""COMPUTED_VALUE"""),40)</f>
        <v>40</v>
      </c>
      <c r="D1433" s="75">
        <f ca="1">IFERROR(__xludf.DUMMYFUNCTION("""COMPUTED_VALUE"""),50)</f>
        <v>50</v>
      </c>
      <c r="E1433" s="76">
        <f ca="1">IFERROR(__xludf.DUMMYFUNCTION("""COMPUTED_VALUE"""),90)</f>
        <v>90</v>
      </c>
      <c r="F1433" s="77">
        <f ca="1">IFERROR(__xludf.DUMMYFUNCTION("""COMPUTED_VALUE"""),10160118)</f>
        <v>10160118</v>
      </c>
      <c r="G1433" s="77" t="str">
        <f t="shared" ca="1" si="5"/>
        <v>si</v>
      </c>
    </row>
    <row r="1434" spans="1:7" ht="12.75" x14ac:dyDescent="0.2">
      <c r="A1434" s="62">
        <f ca="1">IFERROR(__xludf.DUMMYFUNCTION("""COMPUTED_VALUE"""),10160119)</f>
        <v>10160119</v>
      </c>
      <c r="B1434" s="62" t="str">
        <f ca="1">IFERROR(__xludf.DUMMYFUNCTION("""COMPUTED_VALUE"""),"Flex Volumen + Encendido 7P")</f>
        <v>Flex Volumen + Encendido 7P</v>
      </c>
      <c r="C1434" s="75">
        <f ca="1">IFERROR(__xludf.DUMMYFUNCTION("""COMPUTED_VALUE"""),40)</f>
        <v>40</v>
      </c>
      <c r="D1434" s="75">
        <f ca="1">IFERROR(__xludf.DUMMYFUNCTION("""COMPUTED_VALUE"""),50)</f>
        <v>50</v>
      </c>
      <c r="E1434" s="76">
        <f ca="1">IFERROR(__xludf.DUMMYFUNCTION("""COMPUTED_VALUE"""),90)</f>
        <v>90</v>
      </c>
      <c r="F1434" s="77">
        <f ca="1">IFERROR(__xludf.DUMMYFUNCTION("""COMPUTED_VALUE"""),10160119)</f>
        <v>10160119</v>
      </c>
      <c r="G1434" s="77" t="str">
        <f t="shared" ca="1" si="5"/>
        <v>si</v>
      </c>
    </row>
    <row r="1435" spans="1:7" ht="12.75" x14ac:dyDescent="0.2">
      <c r="A1435" s="62">
        <f ca="1">IFERROR(__xludf.DUMMYFUNCTION("""COMPUTED_VALUE"""),10160023)</f>
        <v>10160023</v>
      </c>
      <c r="B1435" s="62" t="str">
        <f ca="1">IFERROR(__xludf.DUMMYFUNCTION("""COMPUTED_VALUE"""),"Flex Volumen + Encendido 8G")</f>
        <v>Flex Volumen + Encendido 8G</v>
      </c>
      <c r="C1435" s="75">
        <f ca="1">IFERROR(__xludf.DUMMYFUNCTION("""COMPUTED_VALUE"""),90)</f>
        <v>90</v>
      </c>
      <c r="D1435" s="75">
        <f ca="1">IFERROR(__xludf.DUMMYFUNCTION("""COMPUTED_VALUE"""),50)</f>
        <v>50</v>
      </c>
      <c r="E1435" s="76">
        <f ca="1">IFERROR(__xludf.DUMMYFUNCTION("""COMPUTED_VALUE"""),140)</f>
        <v>140</v>
      </c>
      <c r="F1435" s="77">
        <f ca="1">IFERROR(__xludf.DUMMYFUNCTION("""COMPUTED_VALUE"""),10160023)</f>
        <v>10160023</v>
      </c>
      <c r="G1435" s="77" t="str">
        <f t="shared" ca="1" si="5"/>
        <v>si</v>
      </c>
    </row>
    <row r="1436" spans="1:7" ht="12.75" x14ac:dyDescent="0.2">
      <c r="A1436" s="62">
        <f ca="1">IFERROR(__xludf.DUMMYFUNCTION("""COMPUTED_VALUE"""),10160024)</f>
        <v>10160024</v>
      </c>
      <c r="B1436" s="62" t="str">
        <f ca="1">IFERROR(__xludf.DUMMYFUNCTION("""COMPUTED_VALUE"""),"Flex Volumen + Encendido 8P")</f>
        <v>Flex Volumen + Encendido 8P</v>
      </c>
      <c r="C1436" s="75">
        <f ca="1">IFERROR(__xludf.DUMMYFUNCTION("""COMPUTED_VALUE"""),90)</f>
        <v>90</v>
      </c>
      <c r="D1436" s="75">
        <f ca="1">IFERROR(__xludf.DUMMYFUNCTION("""COMPUTED_VALUE"""),50)</f>
        <v>50</v>
      </c>
      <c r="E1436" s="76">
        <f ca="1">IFERROR(__xludf.DUMMYFUNCTION("""COMPUTED_VALUE"""),140)</f>
        <v>140</v>
      </c>
      <c r="F1436" s="77">
        <f ca="1">IFERROR(__xludf.DUMMYFUNCTION("""COMPUTED_VALUE"""),10160024)</f>
        <v>10160024</v>
      </c>
      <c r="G1436" s="77" t="str">
        <f t="shared" ca="1" si="5"/>
        <v>si</v>
      </c>
    </row>
    <row r="1437" spans="1:7" ht="12.75" x14ac:dyDescent="0.2">
      <c r="A1437" s="62">
        <f ca="1">IFERROR(__xludf.DUMMYFUNCTION("""COMPUTED_VALUE"""),10160025)</f>
        <v>10160025</v>
      </c>
      <c r="B1437" s="62" t="str">
        <f ca="1">IFERROR(__xludf.DUMMYFUNCTION("""COMPUTED_VALUE"""),"Flex Volumen + Encendido X")</f>
        <v>Flex Volumen + Encendido X</v>
      </c>
      <c r="C1437" s="75">
        <f ca="1">IFERROR(__xludf.DUMMYFUNCTION("""COMPUTED_VALUE"""),120)</f>
        <v>120</v>
      </c>
      <c r="D1437" s="75">
        <f ca="1">IFERROR(__xludf.DUMMYFUNCTION("""COMPUTED_VALUE"""),50)</f>
        <v>50</v>
      </c>
      <c r="E1437" s="76">
        <f ca="1">IFERROR(__xludf.DUMMYFUNCTION("""COMPUTED_VALUE"""),170)</f>
        <v>170</v>
      </c>
      <c r="F1437" s="77">
        <f ca="1">IFERROR(__xludf.DUMMYFUNCTION("""COMPUTED_VALUE"""),10160025)</f>
        <v>10160025</v>
      </c>
      <c r="G1437" s="77" t="str">
        <f t="shared" ca="1" si="5"/>
        <v>si</v>
      </c>
    </row>
    <row r="1438" spans="1:7" ht="12.75" x14ac:dyDescent="0.2">
      <c r="A1438" s="62">
        <f ca="1">IFERROR(__xludf.DUMMYFUNCTION("""COMPUTED_VALUE"""),10160026)</f>
        <v>10160026</v>
      </c>
      <c r="B1438" s="62" t="str">
        <f ca="1">IFERROR(__xludf.DUMMYFUNCTION("""COMPUTED_VALUE"""),"Flex Volumen + Encendido Xs  (encendido)")</f>
        <v>Flex Volumen + Encendido Xs  (encendido)</v>
      </c>
      <c r="C1438" s="75">
        <f ca="1">IFERROR(__xludf.DUMMYFUNCTION("""COMPUTED_VALUE"""),120)</f>
        <v>120</v>
      </c>
      <c r="D1438" s="75">
        <f ca="1">IFERROR(__xludf.DUMMYFUNCTION("""COMPUTED_VALUE"""),50)</f>
        <v>50</v>
      </c>
      <c r="E1438" s="76">
        <f ca="1">IFERROR(__xludf.DUMMYFUNCTION("""COMPUTED_VALUE"""),170)</f>
        <v>170</v>
      </c>
      <c r="F1438" s="77">
        <f ca="1">IFERROR(__xludf.DUMMYFUNCTION("""COMPUTED_VALUE"""),10160026)</f>
        <v>10160026</v>
      </c>
      <c r="G1438" s="77" t="str">
        <f t="shared" ca="1" si="5"/>
        <v>si</v>
      </c>
    </row>
    <row r="1439" spans="1:7" ht="12.75" x14ac:dyDescent="0.2">
      <c r="A1439" s="62">
        <f ca="1">IFERROR(__xludf.DUMMYFUNCTION("""COMPUTED_VALUE"""),10160027)</f>
        <v>10160027</v>
      </c>
      <c r="B1439" s="62" t="str">
        <f ca="1">IFERROR(__xludf.DUMMYFUNCTION("""COMPUTED_VALUE"""),"Flex Volumen + Encendido XR")</f>
        <v>Flex Volumen + Encendido XR</v>
      </c>
      <c r="C1439" s="75">
        <f ca="1">IFERROR(__xludf.DUMMYFUNCTION("""COMPUTED_VALUE"""),120)</f>
        <v>120</v>
      </c>
      <c r="D1439" s="75">
        <f ca="1">IFERROR(__xludf.DUMMYFUNCTION("""COMPUTED_VALUE"""),50)</f>
        <v>50</v>
      </c>
      <c r="E1439" s="76">
        <f ca="1">IFERROR(__xludf.DUMMYFUNCTION("""COMPUTED_VALUE"""),170)</f>
        <v>170</v>
      </c>
      <c r="F1439" s="77">
        <f ca="1">IFERROR(__xludf.DUMMYFUNCTION("""COMPUTED_VALUE"""),10160027)</f>
        <v>10160027</v>
      </c>
      <c r="G1439" s="77" t="str">
        <f t="shared" ca="1" si="5"/>
        <v>si</v>
      </c>
    </row>
    <row r="1440" spans="1:7" ht="12.75" x14ac:dyDescent="0.2">
      <c r="A1440" s="62">
        <f ca="1">IFERROR(__xludf.DUMMYFUNCTION("""COMPUTED_VALUE"""),10160028)</f>
        <v>10160028</v>
      </c>
      <c r="B1440" s="62" t="str">
        <f ca="1">IFERROR(__xludf.DUMMYFUNCTION("""COMPUTED_VALUE"""),"Flex Volumen + Encendido Xs Max (encendido)")</f>
        <v>Flex Volumen + Encendido Xs Max (encendido)</v>
      </c>
      <c r="C1440" s="75">
        <f ca="1">IFERROR(__xludf.DUMMYFUNCTION("""COMPUTED_VALUE"""),120)</f>
        <v>120</v>
      </c>
      <c r="D1440" s="75">
        <f ca="1">IFERROR(__xludf.DUMMYFUNCTION("""COMPUTED_VALUE"""),50)</f>
        <v>50</v>
      </c>
      <c r="E1440" s="76">
        <f ca="1">IFERROR(__xludf.DUMMYFUNCTION("""COMPUTED_VALUE"""),170)</f>
        <v>170</v>
      </c>
      <c r="F1440" s="77">
        <f ca="1">IFERROR(__xludf.DUMMYFUNCTION("""COMPUTED_VALUE"""),10160028)</f>
        <v>10160028</v>
      </c>
      <c r="G1440" s="77" t="str">
        <f t="shared" ca="1" si="5"/>
        <v>si</v>
      </c>
    </row>
    <row r="1441" spans="1:7" ht="12.75" x14ac:dyDescent="0.2">
      <c r="A1441" s="62">
        <f ca="1">IFERROR(__xludf.DUMMYFUNCTION("""COMPUTED_VALUE"""),10160029)</f>
        <v>10160029</v>
      </c>
      <c r="B1441" s="62" t="str">
        <f ca="1">IFERROR(__xludf.DUMMYFUNCTION("""COMPUTED_VALUE"""),"Flex Volumen + Encendido 11")</f>
        <v>Flex Volumen + Encendido 11</v>
      </c>
      <c r="C1441" s="75">
        <f ca="1">IFERROR(__xludf.DUMMYFUNCTION("""COMPUTED_VALUE"""),140)</f>
        <v>140</v>
      </c>
      <c r="D1441" s="75">
        <f ca="1">IFERROR(__xludf.DUMMYFUNCTION("""COMPUTED_VALUE"""),50)</f>
        <v>50</v>
      </c>
      <c r="E1441" s="76">
        <f ca="1">IFERROR(__xludf.DUMMYFUNCTION("""COMPUTED_VALUE"""),190)</f>
        <v>190</v>
      </c>
      <c r="F1441" s="77">
        <f ca="1">IFERROR(__xludf.DUMMYFUNCTION("""COMPUTED_VALUE"""),10160029)</f>
        <v>10160029</v>
      </c>
      <c r="G1441" s="77" t="str">
        <f t="shared" ca="1" si="5"/>
        <v>si</v>
      </c>
    </row>
    <row r="1442" spans="1:7" ht="12.75" x14ac:dyDescent="0.2">
      <c r="A1442" s="62">
        <f ca="1">IFERROR(__xludf.DUMMYFUNCTION("""COMPUTED_VALUE"""),10160030)</f>
        <v>10160030</v>
      </c>
      <c r="B1442" s="62" t="str">
        <f ca="1">IFERROR(__xludf.DUMMYFUNCTION("""COMPUTED_VALUE"""),"Flex Volumen + Encendido 11 Pro")</f>
        <v>Flex Volumen + Encendido 11 Pro</v>
      </c>
      <c r="C1442" s="75">
        <f ca="1">IFERROR(__xludf.DUMMYFUNCTION("""COMPUTED_VALUE"""),140)</f>
        <v>140</v>
      </c>
      <c r="D1442" s="75">
        <f ca="1">IFERROR(__xludf.DUMMYFUNCTION("""COMPUTED_VALUE"""),50)</f>
        <v>50</v>
      </c>
      <c r="E1442" s="76">
        <f ca="1">IFERROR(__xludf.DUMMYFUNCTION("""COMPUTED_VALUE"""),190)</f>
        <v>190</v>
      </c>
      <c r="F1442" s="77">
        <f ca="1">IFERROR(__xludf.DUMMYFUNCTION("""COMPUTED_VALUE"""),10160030)</f>
        <v>10160030</v>
      </c>
      <c r="G1442" s="77" t="str">
        <f t="shared" ca="1" si="5"/>
        <v>si</v>
      </c>
    </row>
    <row r="1443" spans="1:7" ht="12.75" x14ac:dyDescent="0.2">
      <c r="A1443" s="62">
        <f ca="1">IFERROR(__xludf.DUMMYFUNCTION("""COMPUTED_VALUE"""),10160031)</f>
        <v>10160031</v>
      </c>
      <c r="B1443" s="62" t="str">
        <f ca="1">IFERROR(__xludf.DUMMYFUNCTION("""COMPUTED_VALUE"""),"Flex Volumen + Encendido 11 Pro max")</f>
        <v>Flex Volumen + Encendido 11 Pro max</v>
      </c>
      <c r="C1443" s="75">
        <f ca="1">IFERROR(__xludf.DUMMYFUNCTION("""COMPUTED_VALUE"""),140)</f>
        <v>140</v>
      </c>
      <c r="D1443" s="75">
        <f ca="1">IFERROR(__xludf.DUMMYFUNCTION("""COMPUTED_VALUE"""),50)</f>
        <v>50</v>
      </c>
      <c r="E1443" s="76">
        <f ca="1">IFERROR(__xludf.DUMMYFUNCTION("""COMPUTED_VALUE"""),190)</f>
        <v>190</v>
      </c>
      <c r="F1443" s="77">
        <f ca="1">IFERROR(__xludf.DUMMYFUNCTION("""COMPUTED_VALUE"""),10160031)</f>
        <v>10160031</v>
      </c>
      <c r="G1443" s="77" t="str">
        <f t="shared" ca="1" si="5"/>
        <v>si</v>
      </c>
    </row>
    <row r="1444" spans="1:7" ht="12.75" x14ac:dyDescent="0.2">
      <c r="A1444" s="62">
        <f ca="1">IFERROR(__xludf.DUMMYFUNCTION("""COMPUTED_VALUE"""),10160120)</f>
        <v>10160120</v>
      </c>
      <c r="B1444" s="62" t="str">
        <f ca="1">IFERROR(__xludf.DUMMYFUNCTION("""COMPUTED_VALUE"""),"Flex Volumen 6G")</f>
        <v>Flex Volumen 6G</v>
      </c>
      <c r="C1444" s="75">
        <f ca="1">IFERROR(__xludf.DUMMYFUNCTION("""COMPUTED_VALUE"""),40)</f>
        <v>40</v>
      </c>
      <c r="D1444" s="75">
        <f ca="1">IFERROR(__xludf.DUMMYFUNCTION("""COMPUTED_VALUE"""),50)</f>
        <v>50</v>
      </c>
      <c r="E1444" s="76">
        <f ca="1">IFERROR(__xludf.DUMMYFUNCTION("""COMPUTED_VALUE"""),90)</f>
        <v>90</v>
      </c>
      <c r="F1444" s="77">
        <f ca="1">IFERROR(__xludf.DUMMYFUNCTION("""COMPUTED_VALUE"""),10160120)</f>
        <v>10160120</v>
      </c>
      <c r="G1444" s="77" t="str">
        <f t="shared" ca="1" si="5"/>
        <v>si</v>
      </c>
    </row>
    <row r="1445" spans="1:7" ht="12.75" x14ac:dyDescent="0.2">
      <c r="A1445" s="62">
        <f ca="1">IFERROR(__xludf.DUMMYFUNCTION("""COMPUTED_VALUE"""),10160056)</f>
        <v>10160056</v>
      </c>
      <c r="B1445" s="62" t="str">
        <f ca="1">IFERROR(__xludf.DUMMYFUNCTION("""COMPUTED_VALUE"""),"Flex Volumen 6P")</f>
        <v>Flex Volumen 6P</v>
      </c>
      <c r="C1445" s="75">
        <f ca="1">IFERROR(__xludf.DUMMYFUNCTION("""COMPUTED_VALUE"""),40)</f>
        <v>40</v>
      </c>
      <c r="D1445" s="75">
        <f ca="1">IFERROR(__xludf.DUMMYFUNCTION("""COMPUTED_VALUE"""),50)</f>
        <v>50</v>
      </c>
      <c r="E1445" s="76">
        <f ca="1">IFERROR(__xludf.DUMMYFUNCTION("""COMPUTED_VALUE"""),90)</f>
        <v>90</v>
      </c>
      <c r="F1445" s="77">
        <f ca="1">IFERROR(__xludf.DUMMYFUNCTION("""COMPUTED_VALUE"""),10160056)</f>
        <v>10160056</v>
      </c>
      <c r="G1445" s="77" t="str">
        <f t="shared" ca="1" si="5"/>
        <v>si</v>
      </c>
    </row>
    <row r="1446" spans="1:7" ht="12.75" x14ac:dyDescent="0.2">
      <c r="A1446" s="62">
        <f ca="1">IFERROR(__xludf.DUMMYFUNCTION("""COMPUTED_VALUE"""),10160122)</f>
        <v>10160122</v>
      </c>
      <c r="B1446" s="62" t="str">
        <f ca="1">IFERROR(__xludf.DUMMYFUNCTION("""COMPUTED_VALUE"""),"Flex Volumen 6SP")</f>
        <v>Flex Volumen 6SP</v>
      </c>
      <c r="C1446" s="75">
        <f ca="1">IFERROR(__xludf.DUMMYFUNCTION("""COMPUTED_VALUE"""),40)</f>
        <v>40</v>
      </c>
      <c r="D1446" s="75">
        <f ca="1">IFERROR(__xludf.DUMMYFUNCTION("""COMPUTED_VALUE"""),50)</f>
        <v>50</v>
      </c>
      <c r="E1446" s="76">
        <f ca="1">IFERROR(__xludf.DUMMYFUNCTION("""COMPUTED_VALUE"""),90)</f>
        <v>90</v>
      </c>
      <c r="F1446" s="77">
        <f ca="1">IFERROR(__xludf.DUMMYFUNCTION("""COMPUTED_VALUE"""),10160122)</f>
        <v>10160122</v>
      </c>
      <c r="G1446" s="77" t="str">
        <f t="shared" ca="1" si="5"/>
        <v>si</v>
      </c>
    </row>
    <row r="1447" spans="1:7" ht="12.75" x14ac:dyDescent="0.2">
      <c r="A1447" s="62">
        <f ca="1">IFERROR(__xludf.DUMMYFUNCTION("""COMPUTED_VALUE"""),10160123)</f>
        <v>10160123</v>
      </c>
      <c r="B1447" s="62" t="str">
        <f ca="1">IFERROR(__xludf.DUMMYFUNCTION("""COMPUTED_VALUE"""),"Flex Volumen X")</f>
        <v>Flex Volumen X</v>
      </c>
      <c r="C1447" s="75">
        <f ca="1">IFERROR(__xludf.DUMMYFUNCTION("""COMPUTED_VALUE"""),40)</f>
        <v>40</v>
      </c>
      <c r="D1447" s="75">
        <f ca="1">IFERROR(__xludf.DUMMYFUNCTION("""COMPUTED_VALUE"""),50)</f>
        <v>50</v>
      </c>
      <c r="E1447" s="76">
        <f ca="1">IFERROR(__xludf.DUMMYFUNCTION("""COMPUTED_VALUE"""),90)</f>
        <v>90</v>
      </c>
      <c r="F1447" s="77">
        <f ca="1">IFERROR(__xludf.DUMMYFUNCTION("""COMPUTED_VALUE"""),10160123)</f>
        <v>10160123</v>
      </c>
      <c r="G1447" s="77" t="str">
        <f t="shared" ca="1" si="5"/>
        <v>si</v>
      </c>
    </row>
    <row r="1448" spans="1:7" ht="12.75" x14ac:dyDescent="0.2">
      <c r="A1448" s="62">
        <f ca="1">IFERROR(__xludf.DUMMYFUNCTION("""COMPUTED_VALUE"""),10160124)</f>
        <v>10160124</v>
      </c>
      <c r="B1448" s="62" t="str">
        <f ca="1">IFERROR(__xludf.DUMMYFUNCTION("""COMPUTED_VALUE"""),"Flex Volumen Xs")</f>
        <v>Flex Volumen Xs</v>
      </c>
      <c r="C1448" s="75">
        <f ca="1">IFERROR(__xludf.DUMMYFUNCTION("""COMPUTED_VALUE"""),40)</f>
        <v>40</v>
      </c>
      <c r="D1448" s="75">
        <f ca="1">IFERROR(__xludf.DUMMYFUNCTION("""COMPUTED_VALUE"""),50)</f>
        <v>50</v>
      </c>
      <c r="E1448" s="76">
        <f ca="1">IFERROR(__xludf.DUMMYFUNCTION("""COMPUTED_VALUE"""),90)</f>
        <v>90</v>
      </c>
      <c r="F1448" s="77">
        <f ca="1">IFERROR(__xludf.DUMMYFUNCTION("""COMPUTED_VALUE"""),10160124)</f>
        <v>10160124</v>
      </c>
      <c r="G1448" s="77" t="str">
        <f t="shared" ca="1" si="5"/>
        <v>si</v>
      </c>
    </row>
    <row r="1449" spans="1:7" ht="12.75" x14ac:dyDescent="0.2">
      <c r="A1449" s="62">
        <f ca="1">IFERROR(__xludf.DUMMYFUNCTION("""COMPUTED_VALUE"""),10160125)</f>
        <v>10160125</v>
      </c>
      <c r="B1449" s="62" t="str">
        <f ca="1">IFERROR(__xludf.DUMMYFUNCTION("""COMPUTED_VALUE"""),"Flex Volumen 11")</f>
        <v>Flex Volumen 11</v>
      </c>
      <c r="C1449" s="75">
        <f ca="1">IFERROR(__xludf.DUMMYFUNCTION("""COMPUTED_VALUE"""),80)</f>
        <v>80</v>
      </c>
      <c r="D1449" s="75">
        <f ca="1">IFERROR(__xludf.DUMMYFUNCTION("""COMPUTED_VALUE"""),50)</f>
        <v>50</v>
      </c>
      <c r="E1449" s="76">
        <f ca="1">IFERROR(__xludf.DUMMYFUNCTION("""COMPUTED_VALUE"""),130)</f>
        <v>130</v>
      </c>
      <c r="F1449" s="77">
        <f ca="1">IFERROR(__xludf.DUMMYFUNCTION("""COMPUTED_VALUE"""),10160125)</f>
        <v>10160125</v>
      </c>
      <c r="G1449" s="77" t="str">
        <f t="shared" ca="1" si="5"/>
        <v>si</v>
      </c>
    </row>
    <row r="1450" spans="1:7" ht="12.75" x14ac:dyDescent="0.2">
      <c r="A1450" s="62">
        <f ca="1">IFERROR(__xludf.DUMMYFUNCTION("""COMPUTED_VALUE"""),10160126)</f>
        <v>10160126</v>
      </c>
      <c r="B1450" s="62" t="str">
        <f ca="1">IFERROR(__xludf.DUMMYFUNCTION("""COMPUTED_VALUE"""),"Flex Volumen 11 Pro  ")</f>
        <v xml:space="preserve">Flex Volumen 11 Pro  </v>
      </c>
      <c r="C1450" s="75">
        <f ca="1">IFERROR(__xludf.DUMMYFUNCTION("""COMPUTED_VALUE"""),80)</f>
        <v>80</v>
      </c>
      <c r="D1450" s="75">
        <f ca="1">IFERROR(__xludf.DUMMYFUNCTION("""COMPUTED_VALUE"""),50)</f>
        <v>50</v>
      </c>
      <c r="E1450" s="76">
        <f ca="1">IFERROR(__xludf.DUMMYFUNCTION("""COMPUTED_VALUE"""),130)</f>
        <v>130</v>
      </c>
      <c r="F1450" s="77">
        <f ca="1">IFERROR(__xludf.DUMMYFUNCTION("""COMPUTED_VALUE"""),10160126)</f>
        <v>10160126</v>
      </c>
      <c r="G1450" s="77" t="str">
        <f t="shared" ca="1" si="5"/>
        <v>si</v>
      </c>
    </row>
    <row r="1451" spans="1:7" ht="12.75" x14ac:dyDescent="0.2">
      <c r="A1451" s="62">
        <f ca="1">IFERROR(__xludf.DUMMYFUNCTION("""COMPUTED_VALUE"""),10160127)</f>
        <v>10160127</v>
      </c>
      <c r="B1451" s="62" t="str">
        <f ca="1">IFERROR(__xludf.DUMMYFUNCTION("""COMPUTED_VALUE"""),"Flex Volumen 11 Pro Max")</f>
        <v>Flex Volumen 11 Pro Max</v>
      </c>
      <c r="C1451" s="75">
        <f ca="1">IFERROR(__xludf.DUMMYFUNCTION("""COMPUTED_VALUE"""),80)</f>
        <v>80</v>
      </c>
      <c r="D1451" s="75">
        <f ca="1">IFERROR(__xludf.DUMMYFUNCTION("""COMPUTED_VALUE"""),50)</f>
        <v>50</v>
      </c>
      <c r="E1451" s="76">
        <f ca="1">IFERROR(__xludf.DUMMYFUNCTION("""COMPUTED_VALUE"""),130)</f>
        <v>130</v>
      </c>
      <c r="F1451" s="77">
        <f ca="1">IFERROR(__xludf.DUMMYFUNCTION("""COMPUTED_VALUE"""),10160127)</f>
        <v>10160127</v>
      </c>
      <c r="G1451" s="77" t="str">
        <f t="shared" ca="1" si="5"/>
        <v>si</v>
      </c>
    </row>
    <row r="1452" spans="1:7" ht="12.75" x14ac:dyDescent="0.2">
      <c r="A1452" s="62">
        <f ca="1">IFERROR(__xludf.DUMMYFUNCTION("""COMPUTED_VALUE"""),10160128)</f>
        <v>10160128</v>
      </c>
      <c r="B1452" s="62" t="str">
        <f ca="1">IFERROR(__xludf.DUMMYFUNCTION("""COMPUTED_VALUE"""),"Flex Volumen 12")</f>
        <v>Flex Volumen 12</v>
      </c>
      <c r="C1452" s="75">
        <f ca="1">IFERROR(__xludf.DUMMYFUNCTION("""COMPUTED_VALUE"""),100)</f>
        <v>100</v>
      </c>
      <c r="D1452" s="75">
        <f ca="1">IFERROR(__xludf.DUMMYFUNCTION("""COMPUTED_VALUE"""),50)</f>
        <v>50</v>
      </c>
      <c r="E1452" s="76">
        <f ca="1">IFERROR(__xludf.DUMMYFUNCTION("""COMPUTED_VALUE"""),150)</f>
        <v>150</v>
      </c>
      <c r="F1452" s="77">
        <f ca="1">IFERROR(__xludf.DUMMYFUNCTION("""COMPUTED_VALUE"""),10160128)</f>
        <v>10160128</v>
      </c>
      <c r="G1452" s="77" t="str">
        <f t="shared" ca="1" si="5"/>
        <v>si</v>
      </c>
    </row>
    <row r="1453" spans="1:7" ht="12.75" x14ac:dyDescent="0.2">
      <c r="A1453" s="62">
        <f ca="1">IFERROR(__xludf.DUMMYFUNCTION("""COMPUTED_VALUE"""),10160129)</f>
        <v>10160129</v>
      </c>
      <c r="B1453" s="62" t="str">
        <f ca="1">IFERROR(__xludf.DUMMYFUNCTION("""COMPUTED_VALUE"""),"Flex Volumen + Encendido 12 Pro")</f>
        <v>Flex Volumen + Encendido 12 Pro</v>
      </c>
      <c r="C1453" s="75">
        <f ca="1">IFERROR(__xludf.DUMMYFUNCTION("""COMPUTED_VALUE"""),100)</f>
        <v>100</v>
      </c>
      <c r="D1453" s="75">
        <f ca="1">IFERROR(__xludf.DUMMYFUNCTION("""COMPUTED_VALUE"""),50)</f>
        <v>50</v>
      </c>
      <c r="E1453" s="76">
        <f ca="1">IFERROR(__xludf.DUMMYFUNCTION("""COMPUTED_VALUE"""),150)</f>
        <v>150</v>
      </c>
      <c r="F1453" s="77">
        <f ca="1">IFERROR(__xludf.DUMMYFUNCTION("""COMPUTED_VALUE"""),10160129)</f>
        <v>10160129</v>
      </c>
      <c r="G1453" s="77" t="str">
        <f t="shared" ca="1" si="5"/>
        <v>si</v>
      </c>
    </row>
    <row r="1454" spans="1:7" ht="12.75" x14ac:dyDescent="0.2">
      <c r="A1454" s="62">
        <f ca="1">IFERROR(__xludf.DUMMYFUNCTION("""COMPUTED_VALUE"""),10160148)</f>
        <v>10160148</v>
      </c>
      <c r="B1454" s="62" t="str">
        <f ca="1">IFERROR(__xludf.DUMMYFUNCTION("""COMPUTED_VALUE"""),"Flex Volumen + Encendido 12   -  12pm")</f>
        <v>Flex Volumen + Encendido 12   -  12pm</v>
      </c>
      <c r="C1454" s="75">
        <f ca="1">IFERROR(__xludf.DUMMYFUNCTION("""COMPUTED_VALUE"""),140)</f>
        <v>140</v>
      </c>
      <c r="D1454" s="75">
        <f ca="1">IFERROR(__xludf.DUMMYFUNCTION("""COMPUTED_VALUE"""),50)</f>
        <v>50</v>
      </c>
      <c r="E1454" s="76">
        <f ca="1">IFERROR(__xludf.DUMMYFUNCTION("""COMPUTED_VALUE"""),190)</f>
        <v>190</v>
      </c>
      <c r="F1454" s="77">
        <f ca="1">IFERROR(__xludf.DUMMYFUNCTION("""COMPUTED_VALUE"""),10160148)</f>
        <v>10160148</v>
      </c>
      <c r="G1454" s="77" t="str">
        <f t="shared" ca="1" si="5"/>
        <v>si</v>
      </c>
    </row>
    <row r="1455" spans="1:7" ht="12.75" x14ac:dyDescent="0.2">
      <c r="A1455" s="62">
        <f ca="1">IFERROR(__xludf.DUMMYFUNCTION("""COMPUTED_VALUE"""),10160147)</f>
        <v>10160147</v>
      </c>
      <c r="B1455" s="62" t="str">
        <f ca="1">IFERROR(__xludf.DUMMYFUNCTION("""COMPUTED_VALUE"""),"Flex Encendido 12 Pro ")</f>
        <v xml:space="preserve">Flex Encendido 12 Pro </v>
      </c>
      <c r="C1455" s="75">
        <f ca="1">IFERROR(__xludf.DUMMYFUNCTION("""COMPUTED_VALUE"""),140)</f>
        <v>140</v>
      </c>
      <c r="D1455" s="75">
        <f ca="1">IFERROR(__xludf.DUMMYFUNCTION("""COMPUTED_VALUE"""),50)</f>
        <v>50</v>
      </c>
      <c r="E1455" s="76">
        <f ca="1">IFERROR(__xludf.DUMMYFUNCTION("""COMPUTED_VALUE"""),190)</f>
        <v>190</v>
      </c>
      <c r="F1455" s="77">
        <f ca="1">IFERROR(__xludf.DUMMYFUNCTION("""COMPUTED_VALUE"""),10160147)</f>
        <v>10160147</v>
      </c>
      <c r="G1455" s="77" t="str">
        <f t="shared" ca="1" si="5"/>
        <v>si</v>
      </c>
    </row>
    <row r="1456" spans="1:7" ht="12.75" x14ac:dyDescent="0.2">
      <c r="A1456" s="62">
        <f ca="1">IFERROR(__xludf.DUMMYFUNCTION("""COMPUTED_VALUE"""),10160146)</f>
        <v>10160146</v>
      </c>
      <c r="B1456" s="62" t="str">
        <f ca="1">IFERROR(__xludf.DUMMYFUNCTION("""COMPUTED_VALUE"""),"Flex Volumen + Encendido 12 Mini")</f>
        <v>Flex Volumen + Encendido 12 Mini</v>
      </c>
      <c r="C1456" s="75">
        <f ca="1">IFERROR(__xludf.DUMMYFUNCTION("""COMPUTED_VALUE"""),140)</f>
        <v>140</v>
      </c>
      <c r="D1456" s="75">
        <f ca="1">IFERROR(__xludf.DUMMYFUNCTION("""COMPUTED_VALUE"""),50)</f>
        <v>50</v>
      </c>
      <c r="E1456" s="76">
        <f ca="1">IFERROR(__xludf.DUMMYFUNCTION("""COMPUTED_VALUE"""),190)</f>
        <v>190</v>
      </c>
      <c r="F1456" s="77">
        <f ca="1">IFERROR(__xludf.DUMMYFUNCTION("""COMPUTED_VALUE"""),10160146)</f>
        <v>10160146</v>
      </c>
      <c r="G1456" s="77" t="str">
        <f t="shared" ca="1" si="5"/>
        <v>si</v>
      </c>
    </row>
    <row r="1457" spans="1:7" ht="12.75" x14ac:dyDescent="0.2">
      <c r="A1457" s="62">
        <f ca="1">IFERROR(__xludf.DUMMYFUNCTION("""COMPUTED_VALUE"""),10160145)</f>
        <v>10160145</v>
      </c>
      <c r="B1457" s="62" t="str">
        <f ca="1">IFERROR(__xludf.DUMMYFUNCTION("""COMPUTED_VALUE"""),"Flex Volumen + Encendido 12 Pro max")</f>
        <v>Flex Volumen + Encendido 12 Pro max</v>
      </c>
      <c r="C1457" s="75">
        <f ca="1">IFERROR(__xludf.DUMMYFUNCTION("""COMPUTED_VALUE"""),140)</f>
        <v>140</v>
      </c>
      <c r="D1457" s="75">
        <f ca="1">IFERROR(__xludf.DUMMYFUNCTION("""COMPUTED_VALUE"""),50)</f>
        <v>50</v>
      </c>
      <c r="E1457" s="76">
        <f ca="1">IFERROR(__xludf.DUMMYFUNCTION("""COMPUTED_VALUE"""),190)</f>
        <v>190</v>
      </c>
      <c r="F1457" s="77">
        <f ca="1">IFERROR(__xludf.DUMMYFUNCTION("""COMPUTED_VALUE"""),10160145)</f>
        <v>10160145</v>
      </c>
      <c r="G1457" s="77" t="str">
        <f t="shared" ca="1" si="5"/>
        <v>si</v>
      </c>
    </row>
    <row r="1458" spans="1:7" ht="12.75" x14ac:dyDescent="0.2">
      <c r="A1458" s="62">
        <f ca="1">IFERROR(__xludf.DUMMYFUNCTION("""COMPUTED_VALUE"""),10160224)</f>
        <v>10160224</v>
      </c>
      <c r="B1458" s="62" t="str">
        <f ca="1">IFERROR(__xludf.DUMMYFUNCTION("""COMPUTED_VALUE"""),"Flex Volumen + Encendido 13")</f>
        <v>Flex Volumen + Encendido 13</v>
      </c>
      <c r="C1458" s="75">
        <f ca="1">IFERROR(__xludf.DUMMYFUNCTION("""COMPUTED_VALUE"""),210)</f>
        <v>210</v>
      </c>
      <c r="D1458" s="75">
        <f ca="1">IFERROR(__xludf.DUMMYFUNCTION("""COMPUTED_VALUE"""),50)</f>
        <v>50</v>
      </c>
      <c r="E1458" s="76">
        <f ca="1">IFERROR(__xludf.DUMMYFUNCTION("""COMPUTED_VALUE"""),260)</f>
        <v>260</v>
      </c>
      <c r="F1458" s="77">
        <f ca="1">IFERROR(__xludf.DUMMYFUNCTION("""COMPUTED_VALUE"""),10160224)</f>
        <v>10160224</v>
      </c>
      <c r="G1458" s="77" t="str">
        <f t="shared" ca="1" si="5"/>
        <v>si</v>
      </c>
    </row>
    <row r="1459" spans="1:7" ht="12.75" x14ac:dyDescent="0.2">
      <c r="A1459" s="62">
        <f ca="1">IFERROR(__xludf.DUMMYFUNCTION("""COMPUTED_VALUE"""),10160225)</f>
        <v>10160225</v>
      </c>
      <c r="B1459" s="62" t="str">
        <f ca="1">IFERROR(__xludf.DUMMYFUNCTION("""COMPUTED_VALUE"""),"Flex Volumen + Encendido 13 Pro")</f>
        <v>Flex Volumen + Encendido 13 Pro</v>
      </c>
      <c r="C1459" s="75">
        <f ca="1">IFERROR(__xludf.DUMMYFUNCTION("""COMPUTED_VALUE"""),210)</f>
        <v>210</v>
      </c>
      <c r="D1459" s="75">
        <f ca="1">IFERROR(__xludf.DUMMYFUNCTION("""COMPUTED_VALUE"""),50)</f>
        <v>50</v>
      </c>
      <c r="E1459" s="76">
        <f ca="1">IFERROR(__xludf.DUMMYFUNCTION("""COMPUTED_VALUE"""),260)</f>
        <v>260</v>
      </c>
      <c r="F1459" s="77">
        <f ca="1">IFERROR(__xludf.DUMMYFUNCTION("""COMPUTED_VALUE"""),10160225)</f>
        <v>10160225</v>
      </c>
      <c r="G1459" s="77" t="str">
        <f t="shared" ca="1" si="5"/>
        <v>si</v>
      </c>
    </row>
    <row r="1460" spans="1:7" ht="12.75" x14ac:dyDescent="0.2">
      <c r="A1460" s="62">
        <f ca="1">IFERROR(__xludf.DUMMYFUNCTION("""COMPUTED_VALUE"""),10160317)</f>
        <v>10160317</v>
      </c>
      <c r="B1460" s="62" t="str">
        <f ca="1">IFERROR(__xludf.DUMMYFUNCTION("""COMPUTED_VALUE"""),"Flex Huella + encendido Mi 11 Lite ")</f>
        <v xml:space="preserve">Flex Huella + encendido Mi 11 Lite </v>
      </c>
      <c r="C1460" s="75">
        <f ca="1">IFERROR(__xludf.DUMMYFUNCTION("""COMPUTED_VALUE"""),100)</f>
        <v>100</v>
      </c>
      <c r="D1460" s="75">
        <f ca="1">IFERROR(__xludf.DUMMYFUNCTION("""COMPUTED_VALUE"""),50)</f>
        <v>50</v>
      </c>
      <c r="E1460" s="76">
        <f ca="1">IFERROR(__xludf.DUMMYFUNCTION("""COMPUTED_VALUE"""),150)</f>
        <v>150</v>
      </c>
      <c r="F1460" s="77">
        <f ca="1">IFERROR(__xludf.DUMMYFUNCTION("""COMPUTED_VALUE"""),10160317)</f>
        <v>10160317</v>
      </c>
      <c r="G1460" s="77" t="str">
        <f t="shared" ca="1" si="5"/>
        <v>si</v>
      </c>
    </row>
    <row r="1461" spans="1:7" ht="12.75" x14ac:dyDescent="0.2">
      <c r="A1461" s="62">
        <f ca="1">IFERROR(__xludf.DUMMYFUNCTION("""COMPUTED_VALUE"""),10160032)</f>
        <v>10160032</v>
      </c>
      <c r="B1461" s="62" t="str">
        <f ca="1">IFERROR(__xludf.DUMMYFUNCTION("""COMPUTED_VALUE"""),"Flex Auricular 8G")</f>
        <v>Flex Auricular 8G</v>
      </c>
      <c r="C1461" s="75">
        <f ca="1">IFERROR(__xludf.DUMMYFUNCTION("""COMPUTED_VALUE"""),110)</f>
        <v>110</v>
      </c>
      <c r="D1461" s="75">
        <f ca="1">IFERROR(__xludf.DUMMYFUNCTION("""COMPUTED_VALUE"""),50)</f>
        <v>50</v>
      </c>
      <c r="E1461" s="76">
        <f ca="1">IFERROR(__xludf.DUMMYFUNCTION("""COMPUTED_VALUE"""),160)</f>
        <v>160</v>
      </c>
      <c r="F1461" s="77">
        <f ca="1">IFERROR(__xludf.DUMMYFUNCTION("""COMPUTED_VALUE"""),10160032)</f>
        <v>10160032</v>
      </c>
      <c r="G1461" s="77" t="str">
        <f t="shared" ca="1" si="5"/>
        <v>si</v>
      </c>
    </row>
    <row r="1462" spans="1:7" ht="12.75" x14ac:dyDescent="0.2">
      <c r="A1462" s="62">
        <f ca="1">IFERROR(__xludf.DUMMYFUNCTION("""COMPUTED_VALUE"""),10160033)</f>
        <v>10160033</v>
      </c>
      <c r="B1462" s="62" t="str">
        <f ca="1">IFERROR(__xludf.DUMMYFUNCTION("""COMPUTED_VALUE"""),"Flex Auricular 8P")</f>
        <v>Flex Auricular 8P</v>
      </c>
      <c r="C1462" s="75">
        <f ca="1">IFERROR(__xludf.DUMMYFUNCTION("""COMPUTED_VALUE"""),110)</f>
        <v>110</v>
      </c>
      <c r="D1462" s="75">
        <f ca="1">IFERROR(__xludf.DUMMYFUNCTION("""COMPUTED_VALUE"""),50)</f>
        <v>50</v>
      </c>
      <c r="E1462" s="76">
        <f ca="1">IFERROR(__xludf.DUMMYFUNCTION("""COMPUTED_VALUE"""),160)</f>
        <v>160</v>
      </c>
      <c r="F1462" s="77">
        <f ca="1">IFERROR(__xludf.DUMMYFUNCTION("""COMPUTED_VALUE"""),10160033)</f>
        <v>10160033</v>
      </c>
      <c r="G1462" s="77" t="str">
        <f t="shared" ca="1" si="5"/>
        <v>si</v>
      </c>
    </row>
    <row r="1463" spans="1:7" ht="12.75" x14ac:dyDescent="0.2">
      <c r="A1463" s="62">
        <f ca="1">IFERROR(__xludf.DUMMYFUNCTION("""COMPUTED_VALUE"""),10160034)</f>
        <v>10160034</v>
      </c>
      <c r="B1463" s="62" t="str">
        <f ca="1">IFERROR(__xludf.DUMMYFUNCTION("""COMPUTED_VALUE"""),"Flex Auricular + Sensor de proximidad  Iphone X")</f>
        <v>Flex Auricular + Sensor de proximidad  Iphone X</v>
      </c>
      <c r="C1463" s="75">
        <f ca="1">IFERROR(__xludf.DUMMYFUNCTION("""COMPUTED_VALUE"""),130)</f>
        <v>130</v>
      </c>
      <c r="D1463" s="75">
        <f ca="1">IFERROR(__xludf.DUMMYFUNCTION("""COMPUTED_VALUE"""),50)</f>
        <v>50</v>
      </c>
      <c r="E1463" s="76">
        <f ca="1">IFERROR(__xludf.DUMMYFUNCTION("""COMPUTED_VALUE"""),180)</f>
        <v>180</v>
      </c>
      <c r="F1463" s="77">
        <f ca="1">IFERROR(__xludf.DUMMYFUNCTION("""COMPUTED_VALUE"""),10160034)</f>
        <v>10160034</v>
      </c>
      <c r="G1463" s="77" t="str">
        <f t="shared" ca="1" si="5"/>
        <v>si</v>
      </c>
    </row>
    <row r="1464" spans="1:7" ht="12.75" x14ac:dyDescent="0.2">
      <c r="A1464" s="62">
        <f ca="1">IFERROR(__xludf.DUMMYFUNCTION("""COMPUTED_VALUE"""),10160035)</f>
        <v>10160035</v>
      </c>
      <c r="B1464" s="62" t="str">
        <f ca="1">IFERROR(__xludf.DUMMYFUNCTION("""COMPUTED_VALUE"""),"Flex Auricular Xs")</f>
        <v>Flex Auricular Xs</v>
      </c>
      <c r="C1464" s="75">
        <f ca="1">IFERROR(__xludf.DUMMYFUNCTION("""COMPUTED_VALUE"""),130)</f>
        <v>130</v>
      </c>
      <c r="D1464" s="75">
        <f ca="1">IFERROR(__xludf.DUMMYFUNCTION("""COMPUTED_VALUE"""),50)</f>
        <v>50</v>
      </c>
      <c r="E1464" s="76">
        <f ca="1">IFERROR(__xludf.DUMMYFUNCTION("""COMPUTED_VALUE"""),180)</f>
        <v>180</v>
      </c>
      <c r="F1464" s="77">
        <f ca="1">IFERROR(__xludf.DUMMYFUNCTION("""COMPUTED_VALUE"""),10160035)</f>
        <v>10160035</v>
      </c>
      <c r="G1464" s="77" t="str">
        <f t="shared" ca="1" si="5"/>
        <v>si</v>
      </c>
    </row>
    <row r="1465" spans="1:7" ht="12.75" x14ac:dyDescent="0.2">
      <c r="A1465" s="62">
        <f ca="1">IFERROR(__xludf.DUMMYFUNCTION("""COMPUTED_VALUE"""),10160036)</f>
        <v>10160036</v>
      </c>
      <c r="B1465" s="62" t="str">
        <f ca="1">IFERROR(__xludf.DUMMYFUNCTION("""COMPUTED_VALUE"""),"Flex Auricular XR")</f>
        <v>Flex Auricular XR</v>
      </c>
      <c r="C1465" s="75">
        <f ca="1">IFERROR(__xludf.DUMMYFUNCTION("""COMPUTED_VALUE"""),130)</f>
        <v>130</v>
      </c>
      <c r="D1465" s="75">
        <f ca="1">IFERROR(__xludf.DUMMYFUNCTION("""COMPUTED_VALUE"""),50)</f>
        <v>50</v>
      </c>
      <c r="E1465" s="76">
        <f ca="1">IFERROR(__xludf.DUMMYFUNCTION("""COMPUTED_VALUE"""),180)</f>
        <v>180</v>
      </c>
      <c r="F1465" s="77">
        <f ca="1">IFERROR(__xludf.DUMMYFUNCTION("""COMPUTED_VALUE"""),10160036)</f>
        <v>10160036</v>
      </c>
      <c r="G1465" s="77" t="str">
        <f t="shared" ca="1" si="5"/>
        <v>si</v>
      </c>
    </row>
    <row r="1466" spans="1:7" ht="12.75" x14ac:dyDescent="0.2">
      <c r="A1466" s="62">
        <f ca="1">IFERROR(__xludf.DUMMYFUNCTION("""COMPUTED_VALUE"""),10160037)</f>
        <v>10160037</v>
      </c>
      <c r="B1466" s="62" t="str">
        <f ca="1">IFERROR(__xludf.DUMMYFUNCTION("""COMPUTED_VALUE"""),"Flex Auricular Xs Max")</f>
        <v>Flex Auricular Xs Max</v>
      </c>
      <c r="C1466" s="75">
        <f ca="1">IFERROR(__xludf.DUMMYFUNCTION("""COMPUTED_VALUE"""),130)</f>
        <v>130</v>
      </c>
      <c r="D1466" s="75">
        <f ca="1">IFERROR(__xludf.DUMMYFUNCTION("""COMPUTED_VALUE"""),50)</f>
        <v>50</v>
      </c>
      <c r="E1466" s="76">
        <f ca="1">IFERROR(__xludf.DUMMYFUNCTION("""COMPUTED_VALUE"""),180)</f>
        <v>180</v>
      </c>
      <c r="F1466" s="77">
        <f ca="1">IFERROR(__xludf.DUMMYFUNCTION("""COMPUTED_VALUE"""),10160037)</f>
        <v>10160037</v>
      </c>
      <c r="G1466" s="77" t="str">
        <f t="shared" ca="1" si="5"/>
        <v>si</v>
      </c>
    </row>
    <row r="1467" spans="1:7" ht="12.75" x14ac:dyDescent="0.2">
      <c r="A1467" s="62">
        <f ca="1">IFERROR(__xludf.DUMMYFUNCTION("""COMPUTED_VALUE"""),10160038)</f>
        <v>10160038</v>
      </c>
      <c r="B1467" s="62" t="str">
        <f ca="1">IFERROR(__xludf.DUMMYFUNCTION("""COMPUTED_VALUE"""),"Flex Auricular + Sensor de proximidad 11")</f>
        <v>Flex Auricular + Sensor de proximidad 11</v>
      </c>
      <c r="C1467" s="75">
        <f ca="1">IFERROR(__xludf.DUMMYFUNCTION("""COMPUTED_VALUE"""),150)</f>
        <v>150</v>
      </c>
      <c r="D1467" s="75">
        <f ca="1">IFERROR(__xludf.DUMMYFUNCTION("""COMPUTED_VALUE"""),50)</f>
        <v>50</v>
      </c>
      <c r="E1467" s="76">
        <f ca="1">IFERROR(__xludf.DUMMYFUNCTION("""COMPUTED_VALUE"""),200)</f>
        <v>200</v>
      </c>
      <c r="F1467" s="77">
        <f ca="1">IFERROR(__xludf.DUMMYFUNCTION("""COMPUTED_VALUE"""),10160038)</f>
        <v>10160038</v>
      </c>
      <c r="G1467" s="77" t="str">
        <f t="shared" ca="1" si="5"/>
        <v>si</v>
      </c>
    </row>
    <row r="1468" spans="1:7" ht="12.75" x14ac:dyDescent="0.2">
      <c r="A1468" s="62">
        <f ca="1">IFERROR(__xludf.DUMMYFUNCTION("""COMPUTED_VALUE"""),10160039)</f>
        <v>10160039</v>
      </c>
      <c r="B1468" s="62" t="str">
        <f ca="1">IFERROR(__xludf.DUMMYFUNCTION("""COMPUTED_VALUE"""),"Flex Auricular + Sensor de proximidad 11 Pro")</f>
        <v>Flex Auricular + Sensor de proximidad 11 Pro</v>
      </c>
      <c r="C1468" s="75">
        <f ca="1">IFERROR(__xludf.DUMMYFUNCTION("""COMPUTED_VALUE"""),150)</f>
        <v>150</v>
      </c>
      <c r="D1468" s="75">
        <f ca="1">IFERROR(__xludf.DUMMYFUNCTION("""COMPUTED_VALUE"""),50)</f>
        <v>50</v>
      </c>
      <c r="E1468" s="76">
        <f ca="1">IFERROR(__xludf.DUMMYFUNCTION("""COMPUTED_VALUE"""),200)</f>
        <v>200</v>
      </c>
      <c r="F1468" s="77">
        <f ca="1">IFERROR(__xludf.DUMMYFUNCTION("""COMPUTED_VALUE"""),10160039)</f>
        <v>10160039</v>
      </c>
      <c r="G1468" s="77" t="str">
        <f t="shared" ca="1" si="5"/>
        <v>si</v>
      </c>
    </row>
    <row r="1469" spans="1:7" ht="12.75" x14ac:dyDescent="0.2">
      <c r="A1469" s="62">
        <f ca="1">IFERROR(__xludf.DUMMYFUNCTION("""COMPUTED_VALUE"""),10160040)</f>
        <v>10160040</v>
      </c>
      <c r="B1469" s="62" t="str">
        <f ca="1">IFERROR(__xludf.DUMMYFUNCTION("""COMPUTED_VALUE"""),"Flex Auricular + Sensor de proximidad 11 Pro max")</f>
        <v>Flex Auricular + Sensor de proximidad 11 Pro max</v>
      </c>
      <c r="C1469" s="75">
        <f ca="1">IFERROR(__xludf.DUMMYFUNCTION("""COMPUTED_VALUE"""),150)</f>
        <v>150</v>
      </c>
      <c r="D1469" s="75">
        <f ca="1">IFERROR(__xludf.DUMMYFUNCTION("""COMPUTED_VALUE"""),50)</f>
        <v>50</v>
      </c>
      <c r="E1469" s="76">
        <f ca="1">IFERROR(__xludf.DUMMYFUNCTION("""COMPUTED_VALUE"""),200)</f>
        <v>200</v>
      </c>
      <c r="F1469" s="77">
        <f ca="1">IFERROR(__xludf.DUMMYFUNCTION("""COMPUTED_VALUE"""),10160040)</f>
        <v>10160040</v>
      </c>
      <c r="G1469" s="77" t="str">
        <f t="shared" ca="1" si="5"/>
        <v>si</v>
      </c>
    </row>
    <row r="1470" spans="1:7" ht="12.75" x14ac:dyDescent="0.2">
      <c r="A1470" s="62">
        <f ca="1">IFERROR(__xludf.DUMMYFUNCTION("""COMPUTED_VALUE"""),10160137)</f>
        <v>10160137</v>
      </c>
      <c r="B1470" s="62" t="str">
        <f ca="1">IFERROR(__xludf.DUMMYFUNCTION("""COMPUTED_VALUE"""),"Flex Auricular  Iphone 12 Pro - 12")</f>
        <v>Flex Auricular  Iphone 12 Pro - 12</v>
      </c>
      <c r="C1470" s="75">
        <f ca="1">IFERROR(__xludf.DUMMYFUNCTION("""COMPUTED_VALUE"""),70)</f>
        <v>70</v>
      </c>
      <c r="D1470" s="75">
        <f ca="1">IFERROR(__xludf.DUMMYFUNCTION("""COMPUTED_VALUE"""),100)</f>
        <v>100</v>
      </c>
      <c r="E1470" s="76">
        <f ca="1">IFERROR(__xludf.DUMMYFUNCTION("""COMPUTED_VALUE"""),170)</f>
        <v>170</v>
      </c>
      <c r="F1470" s="77">
        <f ca="1">IFERROR(__xludf.DUMMYFUNCTION("""COMPUTED_VALUE"""),10160137)</f>
        <v>10160137</v>
      </c>
      <c r="G1470" s="77" t="str">
        <f t="shared" ca="1" si="5"/>
        <v>si</v>
      </c>
    </row>
    <row r="1471" spans="1:7" ht="12.75" x14ac:dyDescent="0.2">
      <c r="A1471" s="62">
        <f ca="1">IFERROR(__xludf.DUMMYFUNCTION("""COMPUTED_VALUE"""),10160139)</f>
        <v>10160139</v>
      </c>
      <c r="B1471" s="62" t="str">
        <f ca="1">IFERROR(__xludf.DUMMYFUNCTION("""COMPUTED_VALUE"""),"Flex Auricular  Iphone 12 Mini")</f>
        <v>Flex Auricular  Iphone 12 Mini</v>
      </c>
      <c r="C1471" s="75">
        <f ca="1">IFERROR(__xludf.DUMMYFUNCTION("""COMPUTED_VALUE"""),90)</f>
        <v>90</v>
      </c>
      <c r="D1471" s="75">
        <f ca="1">IFERROR(__xludf.DUMMYFUNCTION("""COMPUTED_VALUE"""),100)</f>
        <v>100</v>
      </c>
      <c r="E1471" s="76">
        <f ca="1">IFERROR(__xludf.DUMMYFUNCTION("""COMPUTED_VALUE"""),190)</f>
        <v>190</v>
      </c>
      <c r="F1471" s="77">
        <f ca="1">IFERROR(__xludf.DUMMYFUNCTION("""COMPUTED_VALUE"""),10160139)</f>
        <v>10160139</v>
      </c>
      <c r="G1471" s="77" t="str">
        <f t="shared" ca="1" si="5"/>
        <v>si</v>
      </c>
    </row>
    <row r="1472" spans="1:7" ht="12.75" x14ac:dyDescent="0.2">
      <c r="A1472" s="62">
        <f ca="1">IFERROR(__xludf.DUMMYFUNCTION("""COMPUTED_VALUE"""),10160144)</f>
        <v>10160144</v>
      </c>
      <c r="B1472" s="62" t="str">
        <f ca="1">IFERROR(__xludf.DUMMYFUNCTION("""COMPUTED_VALUE"""),"Flex Auricular  Iphone 12 Pro max ")</f>
        <v xml:space="preserve">Flex Auricular  Iphone 12 Pro max </v>
      </c>
      <c r="C1472" s="75">
        <f ca="1">IFERROR(__xludf.DUMMYFUNCTION("""COMPUTED_VALUE"""),120)</f>
        <v>120</v>
      </c>
      <c r="D1472" s="75">
        <f ca="1">IFERROR(__xludf.DUMMYFUNCTION("""COMPUTED_VALUE"""),100)</f>
        <v>100</v>
      </c>
      <c r="E1472" s="76">
        <f ca="1">IFERROR(__xludf.DUMMYFUNCTION("""COMPUTED_VALUE"""),220)</f>
        <v>220</v>
      </c>
      <c r="F1472" s="77">
        <f ca="1">IFERROR(__xludf.DUMMYFUNCTION("""COMPUTED_VALUE"""),10160144)</f>
        <v>10160144</v>
      </c>
      <c r="G1472" s="77" t="str">
        <f t="shared" ca="1" si="5"/>
        <v>si</v>
      </c>
    </row>
    <row r="1473" spans="1:7" ht="12.75" x14ac:dyDescent="0.2">
      <c r="A1473" s="62">
        <f ca="1">IFERROR(__xludf.DUMMYFUNCTION("""COMPUTED_VALUE"""),10160333)</f>
        <v>10160333</v>
      </c>
      <c r="B1473" s="62" t="str">
        <f ca="1">IFERROR(__xludf.DUMMYFUNCTION("""COMPUTED_VALUE"""),"pin v8")</f>
        <v>pin v8</v>
      </c>
      <c r="C1473" s="75">
        <f ca="1">IFERROR(__xludf.DUMMYFUNCTION("""COMPUTED_VALUE"""),10)</f>
        <v>10</v>
      </c>
      <c r="D1473" s="75">
        <f ca="1">IFERROR(__xludf.DUMMYFUNCTION("""COMPUTED_VALUE"""),50)</f>
        <v>50</v>
      </c>
      <c r="E1473" s="76">
        <f ca="1">IFERROR(__xludf.DUMMYFUNCTION("""COMPUTED_VALUE"""),60)</f>
        <v>60</v>
      </c>
      <c r="F1473" s="77">
        <f ca="1">IFERROR(__xludf.DUMMYFUNCTION("""COMPUTED_VALUE"""),10160333)</f>
        <v>10160333</v>
      </c>
      <c r="G1473" s="77" t="str">
        <f t="shared" ca="1" si="5"/>
        <v>si</v>
      </c>
    </row>
    <row r="1474" spans="1:7" ht="12.75" x14ac:dyDescent="0.2">
      <c r="A1474" s="62">
        <f ca="1">IFERROR(__xludf.DUMMYFUNCTION("""COMPUTED_VALUE"""),10160084)</f>
        <v>10160084</v>
      </c>
      <c r="B1474" s="62" t="str">
        <f ca="1">IFERROR(__xludf.DUMMYFUNCTION("""COMPUTED_VALUE"""),"Puerto Carga Iphone 6G")</f>
        <v>Puerto Carga Iphone 6G</v>
      </c>
      <c r="C1474" s="75">
        <f ca="1">IFERROR(__xludf.DUMMYFUNCTION("""COMPUTED_VALUE"""),50)</f>
        <v>50</v>
      </c>
      <c r="D1474" s="75">
        <f ca="1">IFERROR(__xludf.DUMMYFUNCTION("""COMPUTED_VALUE"""),50)</f>
        <v>50</v>
      </c>
      <c r="E1474" s="76">
        <f ca="1">IFERROR(__xludf.DUMMYFUNCTION("""COMPUTED_VALUE"""),100)</f>
        <v>100</v>
      </c>
      <c r="F1474" s="77">
        <f ca="1">IFERROR(__xludf.DUMMYFUNCTION("""COMPUTED_VALUE"""),10160084)</f>
        <v>10160084</v>
      </c>
      <c r="G1474" s="77" t="str">
        <f t="shared" ca="1" si="5"/>
        <v>si</v>
      </c>
    </row>
    <row r="1475" spans="1:7" ht="12.75" x14ac:dyDescent="0.2">
      <c r="A1475" s="62">
        <f ca="1">IFERROR(__xludf.DUMMYFUNCTION("""COMPUTED_VALUE"""),10160085)</f>
        <v>10160085</v>
      </c>
      <c r="B1475" s="62" t="str">
        <f ca="1">IFERROR(__xludf.DUMMYFUNCTION("""COMPUTED_VALUE"""),"Puerto Carga Iphone 6S")</f>
        <v>Puerto Carga Iphone 6S</v>
      </c>
      <c r="C1475" s="75">
        <f ca="1">IFERROR(__xludf.DUMMYFUNCTION("""COMPUTED_VALUE"""),50)</f>
        <v>50</v>
      </c>
      <c r="D1475" s="75">
        <f ca="1">IFERROR(__xludf.DUMMYFUNCTION("""COMPUTED_VALUE"""),50)</f>
        <v>50</v>
      </c>
      <c r="E1475" s="76">
        <f ca="1">IFERROR(__xludf.DUMMYFUNCTION("""COMPUTED_VALUE"""),100)</f>
        <v>100</v>
      </c>
      <c r="F1475" s="77">
        <f ca="1">IFERROR(__xludf.DUMMYFUNCTION("""COMPUTED_VALUE"""),10160085)</f>
        <v>10160085</v>
      </c>
      <c r="G1475" s="77" t="str">
        <f t="shared" ca="1" si="5"/>
        <v>si</v>
      </c>
    </row>
    <row r="1476" spans="1:7" ht="12.75" x14ac:dyDescent="0.2">
      <c r="A1476" s="62">
        <f ca="1">IFERROR(__xludf.DUMMYFUNCTION("""COMPUTED_VALUE"""),10010363)</f>
        <v>10010363</v>
      </c>
      <c r="B1476" s="62" t="str">
        <f ca="1">IFERROR(__xludf.DUMMYFUNCTION("""COMPUTED_VALUE"""),"Puerto Carga Iphone 6SP")</f>
        <v>Puerto Carga Iphone 6SP</v>
      </c>
      <c r="C1476" s="75">
        <f ca="1">IFERROR(__xludf.DUMMYFUNCTION("""COMPUTED_VALUE"""),50)</f>
        <v>50</v>
      </c>
      <c r="D1476" s="75">
        <f ca="1">IFERROR(__xludf.DUMMYFUNCTION("""COMPUTED_VALUE"""),50)</f>
        <v>50</v>
      </c>
      <c r="E1476" s="76">
        <f ca="1">IFERROR(__xludf.DUMMYFUNCTION("""COMPUTED_VALUE"""),100)</f>
        <v>100</v>
      </c>
      <c r="F1476" s="77">
        <f ca="1">IFERROR(__xludf.DUMMYFUNCTION("""COMPUTED_VALUE"""),10010363)</f>
        <v>10010363</v>
      </c>
      <c r="G1476" s="77" t="str">
        <f t="shared" ca="1" si="5"/>
        <v>si</v>
      </c>
    </row>
    <row r="1477" spans="1:7" ht="12.75" x14ac:dyDescent="0.2">
      <c r="A1477" s="62">
        <f ca="1">IFERROR(__xludf.DUMMYFUNCTION("""COMPUTED_VALUE"""),10010370)</f>
        <v>10010370</v>
      </c>
      <c r="B1477" s="62" t="str">
        <f ca="1">IFERROR(__xludf.DUMMYFUNCTION("""COMPUTED_VALUE"""),"Puerto Carga Iphone 6P")</f>
        <v>Puerto Carga Iphone 6P</v>
      </c>
      <c r="C1477" s="75">
        <f ca="1">IFERROR(__xludf.DUMMYFUNCTION("""COMPUTED_VALUE"""),50)</f>
        <v>50</v>
      </c>
      <c r="D1477" s="75">
        <f ca="1">IFERROR(__xludf.DUMMYFUNCTION("""COMPUTED_VALUE"""),50)</f>
        <v>50</v>
      </c>
      <c r="E1477" s="76">
        <f ca="1">IFERROR(__xludf.DUMMYFUNCTION("""COMPUTED_VALUE"""),100)</f>
        <v>100</v>
      </c>
      <c r="F1477" s="77">
        <f ca="1">IFERROR(__xludf.DUMMYFUNCTION("""COMPUTED_VALUE"""),10010370)</f>
        <v>10010370</v>
      </c>
      <c r="G1477" s="77" t="str">
        <f t="shared" ca="1" si="5"/>
        <v>si</v>
      </c>
    </row>
    <row r="1478" spans="1:7" ht="12.75" x14ac:dyDescent="0.2">
      <c r="A1478" s="62">
        <f ca="1">IFERROR(__xludf.DUMMYFUNCTION("""COMPUTED_VALUE"""),10080136)</f>
        <v>10080136</v>
      </c>
      <c r="B1478" s="62" t="str">
        <f ca="1">IFERROR(__xludf.DUMMYFUNCTION("""COMPUTED_VALUE"""),"Puerto Carga Iphone 7G")</f>
        <v>Puerto Carga Iphone 7G</v>
      </c>
      <c r="C1478" s="75">
        <f ca="1">IFERROR(__xludf.DUMMYFUNCTION("""COMPUTED_VALUE"""),70)</f>
        <v>70</v>
      </c>
      <c r="D1478" s="75">
        <f ca="1">IFERROR(__xludf.DUMMYFUNCTION("""COMPUTED_VALUE"""),50)</f>
        <v>50</v>
      </c>
      <c r="E1478" s="76">
        <f ca="1">IFERROR(__xludf.DUMMYFUNCTION("""COMPUTED_VALUE"""),120)</f>
        <v>120</v>
      </c>
      <c r="F1478" s="77">
        <f ca="1">IFERROR(__xludf.DUMMYFUNCTION("""COMPUTED_VALUE"""),10080136)</f>
        <v>10080136</v>
      </c>
      <c r="G1478" s="77" t="str">
        <f t="shared" ca="1" si="5"/>
        <v>si</v>
      </c>
    </row>
    <row r="1479" spans="1:7" ht="12.75" x14ac:dyDescent="0.2">
      <c r="A1479" s="62">
        <f ca="1">IFERROR(__xludf.DUMMYFUNCTION("""COMPUTED_VALUE"""),10080135)</f>
        <v>10080135</v>
      </c>
      <c r="B1479" s="62" t="str">
        <f ca="1">IFERROR(__xludf.DUMMYFUNCTION("""COMPUTED_VALUE"""),"Puerto Carga Iphone 7Plus")</f>
        <v>Puerto Carga Iphone 7Plus</v>
      </c>
      <c r="C1479" s="75">
        <f ca="1">IFERROR(__xludf.DUMMYFUNCTION("""COMPUTED_VALUE"""),70)</f>
        <v>70</v>
      </c>
      <c r="D1479" s="75">
        <f ca="1">IFERROR(__xludf.DUMMYFUNCTION("""COMPUTED_VALUE"""),50)</f>
        <v>50</v>
      </c>
      <c r="E1479" s="76">
        <f ca="1">IFERROR(__xludf.DUMMYFUNCTION("""COMPUTED_VALUE"""),120)</f>
        <v>120</v>
      </c>
      <c r="F1479" s="77">
        <f ca="1">IFERROR(__xludf.DUMMYFUNCTION("""COMPUTED_VALUE"""),10080135)</f>
        <v>10080135</v>
      </c>
      <c r="G1479" s="77" t="str">
        <f t="shared" ca="1" si="5"/>
        <v>si</v>
      </c>
    </row>
    <row r="1480" spans="1:7" ht="12.75" x14ac:dyDescent="0.2">
      <c r="A1480" s="62">
        <f ca="1">IFERROR(__xludf.DUMMYFUNCTION("""COMPUTED_VALUE"""),10080138)</f>
        <v>10080138</v>
      </c>
      <c r="B1480" s="62" t="str">
        <f ca="1">IFERROR(__xludf.DUMMYFUNCTION("""COMPUTED_VALUE"""),"Puerto Carga Iphone 8G")</f>
        <v>Puerto Carga Iphone 8G</v>
      </c>
      <c r="C1480" s="75">
        <f ca="1">IFERROR(__xludf.DUMMYFUNCTION("""COMPUTED_VALUE"""),70)</f>
        <v>70</v>
      </c>
      <c r="D1480" s="75">
        <f ca="1">IFERROR(__xludf.DUMMYFUNCTION("""COMPUTED_VALUE"""),50)</f>
        <v>50</v>
      </c>
      <c r="E1480" s="76">
        <f ca="1">IFERROR(__xludf.DUMMYFUNCTION("""COMPUTED_VALUE"""),120)</f>
        <v>120</v>
      </c>
      <c r="F1480" s="77">
        <f ca="1">IFERROR(__xludf.DUMMYFUNCTION("""COMPUTED_VALUE"""),10080138)</f>
        <v>10080138</v>
      </c>
      <c r="G1480" s="77" t="str">
        <f t="shared" ca="1" si="5"/>
        <v>si</v>
      </c>
    </row>
    <row r="1481" spans="1:7" ht="12.75" x14ac:dyDescent="0.2">
      <c r="A1481" s="62">
        <f ca="1">IFERROR(__xludf.DUMMYFUNCTION("""COMPUTED_VALUE"""),10080137)</f>
        <v>10080137</v>
      </c>
      <c r="B1481" s="62" t="str">
        <f ca="1">IFERROR(__xludf.DUMMYFUNCTION("""COMPUTED_VALUE"""),"Puerto Carga Iphone 8Plus")</f>
        <v>Puerto Carga Iphone 8Plus</v>
      </c>
      <c r="C1481" s="75">
        <f ca="1">IFERROR(__xludf.DUMMYFUNCTION("""COMPUTED_VALUE"""),70)</f>
        <v>70</v>
      </c>
      <c r="D1481" s="75">
        <f ca="1">IFERROR(__xludf.DUMMYFUNCTION("""COMPUTED_VALUE"""),50)</f>
        <v>50</v>
      </c>
      <c r="E1481" s="76">
        <f ca="1">IFERROR(__xludf.DUMMYFUNCTION("""COMPUTED_VALUE"""),120)</f>
        <v>120</v>
      </c>
      <c r="F1481" s="77">
        <f ca="1">IFERROR(__xludf.DUMMYFUNCTION("""COMPUTED_VALUE"""),10080137)</f>
        <v>10080137</v>
      </c>
      <c r="G1481" s="77" t="str">
        <f t="shared" ca="1" si="5"/>
        <v>si</v>
      </c>
    </row>
    <row r="1482" spans="1:7" ht="12.75" x14ac:dyDescent="0.2">
      <c r="A1482" s="62">
        <f ca="1">IFERROR(__xludf.DUMMYFUNCTION("""COMPUTED_VALUE"""),10080139)</f>
        <v>10080139</v>
      </c>
      <c r="B1482" s="62" t="str">
        <f ca="1">IFERROR(__xludf.DUMMYFUNCTION("""COMPUTED_VALUE"""),"Puerto Carga Iphone X")</f>
        <v>Puerto Carga Iphone X</v>
      </c>
      <c r="C1482" s="75">
        <f ca="1">IFERROR(__xludf.DUMMYFUNCTION("""COMPUTED_VALUE"""),90)</f>
        <v>90</v>
      </c>
      <c r="D1482" s="75">
        <f ca="1">IFERROR(__xludf.DUMMYFUNCTION("""COMPUTED_VALUE"""),50)</f>
        <v>50</v>
      </c>
      <c r="E1482" s="76">
        <f ca="1">IFERROR(__xludf.DUMMYFUNCTION("""COMPUTED_VALUE"""),140)</f>
        <v>140</v>
      </c>
      <c r="F1482" s="77">
        <f ca="1">IFERROR(__xludf.DUMMYFUNCTION("""COMPUTED_VALUE"""),10080139)</f>
        <v>10080139</v>
      </c>
      <c r="G1482" s="77" t="str">
        <f t="shared" ca="1" si="5"/>
        <v>si</v>
      </c>
    </row>
    <row r="1483" spans="1:7" ht="12.75" x14ac:dyDescent="0.2">
      <c r="A1483" s="62">
        <f ca="1">IFERROR(__xludf.DUMMYFUNCTION("""COMPUTED_VALUE"""),10080140)</f>
        <v>10080140</v>
      </c>
      <c r="B1483" s="62" t="str">
        <f ca="1">IFERROR(__xludf.DUMMYFUNCTION("""COMPUTED_VALUE"""),"Puerto Carga Iphone XR")</f>
        <v>Puerto Carga Iphone XR</v>
      </c>
      <c r="C1483" s="75">
        <f ca="1">IFERROR(__xludf.DUMMYFUNCTION("""COMPUTED_VALUE"""),90)</f>
        <v>90</v>
      </c>
      <c r="D1483" s="75">
        <f ca="1">IFERROR(__xludf.DUMMYFUNCTION("""COMPUTED_VALUE"""),50)</f>
        <v>50</v>
      </c>
      <c r="E1483" s="76">
        <f ca="1">IFERROR(__xludf.DUMMYFUNCTION("""COMPUTED_VALUE"""),140)</f>
        <v>140</v>
      </c>
      <c r="F1483" s="77">
        <f ca="1">IFERROR(__xludf.DUMMYFUNCTION("""COMPUTED_VALUE"""),10080140)</f>
        <v>10080140</v>
      </c>
      <c r="G1483" s="77" t="str">
        <f t="shared" ca="1" si="5"/>
        <v>si</v>
      </c>
    </row>
    <row r="1484" spans="1:7" ht="12.75" x14ac:dyDescent="0.2">
      <c r="A1484" s="62">
        <f ca="1">IFERROR(__xludf.DUMMYFUNCTION("""COMPUTED_VALUE"""),10080141)</f>
        <v>10080141</v>
      </c>
      <c r="B1484" s="62" t="str">
        <f ca="1">IFERROR(__xludf.DUMMYFUNCTION("""COMPUTED_VALUE"""),"Puerto Carga Iphone Xs")</f>
        <v>Puerto Carga Iphone Xs</v>
      </c>
      <c r="C1484" s="75">
        <f ca="1">IFERROR(__xludf.DUMMYFUNCTION("""COMPUTED_VALUE"""),90)</f>
        <v>90</v>
      </c>
      <c r="D1484" s="75">
        <f ca="1">IFERROR(__xludf.DUMMYFUNCTION("""COMPUTED_VALUE"""),50)</f>
        <v>50</v>
      </c>
      <c r="E1484" s="76">
        <f ca="1">IFERROR(__xludf.DUMMYFUNCTION("""COMPUTED_VALUE"""),140)</f>
        <v>140</v>
      </c>
      <c r="F1484" s="77">
        <f ca="1">IFERROR(__xludf.DUMMYFUNCTION("""COMPUTED_VALUE"""),10080141)</f>
        <v>10080141</v>
      </c>
      <c r="G1484" s="77" t="str">
        <f t="shared" ca="1" si="5"/>
        <v>si</v>
      </c>
    </row>
    <row r="1485" spans="1:7" ht="12.75" x14ac:dyDescent="0.2">
      <c r="A1485" s="62">
        <f ca="1">IFERROR(__xludf.DUMMYFUNCTION("""COMPUTED_VALUE"""),10080142)</f>
        <v>10080142</v>
      </c>
      <c r="B1485" s="62" t="str">
        <f ca="1">IFERROR(__xludf.DUMMYFUNCTION("""COMPUTED_VALUE"""),"Puerto Carga Iphone Xs Max")</f>
        <v>Puerto Carga Iphone Xs Max</v>
      </c>
      <c r="C1485" s="75">
        <f ca="1">IFERROR(__xludf.DUMMYFUNCTION("""COMPUTED_VALUE"""),110)</f>
        <v>110</v>
      </c>
      <c r="D1485" s="75">
        <f ca="1">IFERROR(__xludf.DUMMYFUNCTION("""COMPUTED_VALUE"""),50)</f>
        <v>50</v>
      </c>
      <c r="E1485" s="76">
        <f ca="1">IFERROR(__xludf.DUMMYFUNCTION("""COMPUTED_VALUE"""),160)</f>
        <v>160</v>
      </c>
      <c r="F1485" s="77">
        <f ca="1">IFERROR(__xludf.DUMMYFUNCTION("""COMPUTED_VALUE"""),10080142)</f>
        <v>10080142</v>
      </c>
      <c r="G1485" s="77" t="str">
        <f t="shared" ca="1" si="5"/>
        <v>si</v>
      </c>
    </row>
    <row r="1486" spans="1:7" ht="12.75" x14ac:dyDescent="0.2">
      <c r="A1486" s="62">
        <f ca="1">IFERROR(__xludf.DUMMYFUNCTION("""COMPUTED_VALUE"""),10080134)</f>
        <v>10080134</v>
      </c>
      <c r="B1486" s="62" t="str">
        <f ca="1">IFERROR(__xludf.DUMMYFUNCTION("""COMPUTED_VALUE"""),"Puerto Carga Iphone 11")</f>
        <v>Puerto Carga Iphone 11</v>
      </c>
      <c r="C1486" s="75">
        <f ca="1">IFERROR(__xludf.DUMMYFUNCTION("""COMPUTED_VALUE"""),130)</f>
        <v>130</v>
      </c>
      <c r="D1486" s="75">
        <f ca="1">IFERROR(__xludf.DUMMYFUNCTION("""COMPUTED_VALUE"""),50)</f>
        <v>50</v>
      </c>
      <c r="E1486" s="76">
        <f ca="1">IFERROR(__xludf.DUMMYFUNCTION("""COMPUTED_VALUE"""),180)</f>
        <v>180</v>
      </c>
      <c r="F1486" s="77">
        <f ca="1">IFERROR(__xludf.DUMMYFUNCTION("""COMPUTED_VALUE"""),10080134)</f>
        <v>10080134</v>
      </c>
      <c r="G1486" s="77" t="str">
        <f t="shared" ca="1" si="5"/>
        <v>si</v>
      </c>
    </row>
    <row r="1487" spans="1:7" ht="12.75" x14ac:dyDescent="0.2">
      <c r="A1487" s="62">
        <f ca="1">IFERROR(__xludf.DUMMYFUNCTION("""COMPUTED_VALUE"""),10160086)</f>
        <v>10160086</v>
      </c>
      <c r="B1487" s="62" t="str">
        <f ca="1">IFERROR(__xludf.DUMMYFUNCTION("""COMPUTED_VALUE"""),"Puerto Carga Iphone 11Pro")</f>
        <v>Puerto Carga Iphone 11Pro</v>
      </c>
      <c r="C1487" s="75">
        <f ca="1">IFERROR(__xludf.DUMMYFUNCTION("""COMPUTED_VALUE"""),250)</f>
        <v>250</v>
      </c>
      <c r="D1487" s="75">
        <f ca="1">IFERROR(__xludf.DUMMYFUNCTION("""COMPUTED_VALUE"""),90)</f>
        <v>90</v>
      </c>
      <c r="E1487" s="76">
        <f ca="1">IFERROR(__xludf.DUMMYFUNCTION("""COMPUTED_VALUE"""),340)</f>
        <v>340</v>
      </c>
      <c r="F1487" s="77">
        <f ca="1">IFERROR(__xludf.DUMMYFUNCTION("""COMPUTED_VALUE"""),10160086)</f>
        <v>10160086</v>
      </c>
      <c r="G1487" s="77" t="str">
        <f t="shared" ca="1" si="5"/>
        <v>si</v>
      </c>
    </row>
    <row r="1488" spans="1:7" ht="12.75" x14ac:dyDescent="0.2">
      <c r="A1488" s="62">
        <f ca="1">IFERROR(__xludf.DUMMYFUNCTION("""COMPUTED_VALUE"""),10160087)</f>
        <v>10160087</v>
      </c>
      <c r="B1488" s="62" t="str">
        <f ca="1">IFERROR(__xludf.DUMMYFUNCTION("""COMPUTED_VALUE"""),"Puerto Carga Iphone 11Pro Max ")</f>
        <v xml:space="preserve">Puerto Carga Iphone 11Pro Max </v>
      </c>
      <c r="C1488" s="75">
        <f ca="1">IFERROR(__xludf.DUMMYFUNCTION("""COMPUTED_VALUE"""),250)</f>
        <v>250</v>
      </c>
      <c r="D1488" s="75">
        <f ca="1">IFERROR(__xludf.DUMMYFUNCTION("""COMPUTED_VALUE"""),90)</f>
        <v>90</v>
      </c>
      <c r="E1488" s="76">
        <f ca="1">IFERROR(__xludf.DUMMYFUNCTION("""COMPUTED_VALUE"""),340)</f>
        <v>340</v>
      </c>
      <c r="F1488" s="77">
        <f ca="1">IFERROR(__xludf.DUMMYFUNCTION("""COMPUTED_VALUE"""),10160087)</f>
        <v>10160087</v>
      </c>
      <c r="G1488" s="77" t="str">
        <f t="shared" ca="1" si="5"/>
        <v>si</v>
      </c>
    </row>
    <row r="1489" spans="1:7" ht="12.75" x14ac:dyDescent="0.2">
      <c r="A1489" s="62">
        <f ca="1">IFERROR(__xludf.DUMMYFUNCTION("""COMPUTED_VALUE"""),10160088)</f>
        <v>10160088</v>
      </c>
      <c r="B1489" s="62" t="str">
        <f ca="1">IFERROR(__xludf.DUMMYFUNCTION("""COMPUTED_VALUE"""),"Puerto Carga Iphone 12 - 12 Pro")</f>
        <v>Puerto Carga Iphone 12 - 12 Pro</v>
      </c>
      <c r="C1489" s="75">
        <f ca="1">IFERROR(__xludf.DUMMYFUNCTION("""COMPUTED_VALUE"""),250)</f>
        <v>250</v>
      </c>
      <c r="D1489" s="75">
        <f ca="1">IFERROR(__xludf.DUMMYFUNCTION("""COMPUTED_VALUE"""),90)</f>
        <v>90</v>
      </c>
      <c r="E1489" s="76">
        <f ca="1">IFERROR(__xludf.DUMMYFUNCTION("""COMPUTED_VALUE"""),340)</f>
        <v>340</v>
      </c>
      <c r="F1489" s="77">
        <f ca="1">IFERROR(__xludf.DUMMYFUNCTION("""COMPUTED_VALUE"""),10160088)</f>
        <v>10160088</v>
      </c>
      <c r="G1489" s="77" t="str">
        <f t="shared" ca="1" si="5"/>
        <v>si</v>
      </c>
    </row>
    <row r="1490" spans="1:7" ht="12.75" x14ac:dyDescent="0.2">
      <c r="A1490" s="62">
        <f ca="1">IFERROR(__xludf.DUMMYFUNCTION("""COMPUTED_VALUE"""),10160089)</f>
        <v>10160089</v>
      </c>
      <c r="B1490" s="62" t="str">
        <f ca="1">IFERROR(__xludf.DUMMYFUNCTION("""COMPUTED_VALUE"""),"Puerto Carga Iphone 12 Mini")</f>
        <v>Puerto Carga Iphone 12 Mini</v>
      </c>
      <c r="C1490" s="75">
        <f ca="1">IFERROR(__xludf.DUMMYFUNCTION("""COMPUTED_VALUE"""),250)</f>
        <v>250</v>
      </c>
      <c r="D1490" s="75">
        <f ca="1">IFERROR(__xludf.DUMMYFUNCTION("""COMPUTED_VALUE"""),90)</f>
        <v>90</v>
      </c>
      <c r="E1490" s="76">
        <f ca="1">IFERROR(__xludf.DUMMYFUNCTION("""COMPUTED_VALUE"""),340)</f>
        <v>340</v>
      </c>
      <c r="F1490" s="77">
        <f ca="1">IFERROR(__xludf.DUMMYFUNCTION("""COMPUTED_VALUE"""),10160089)</f>
        <v>10160089</v>
      </c>
      <c r="G1490" s="77" t="str">
        <f t="shared" ca="1" si="5"/>
        <v>si</v>
      </c>
    </row>
    <row r="1491" spans="1:7" ht="12.75" x14ac:dyDescent="0.2">
      <c r="A1491" s="62">
        <f ca="1">IFERROR(__xludf.DUMMYFUNCTION("""COMPUTED_VALUE"""),10160090)</f>
        <v>10160090</v>
      </c>
      <c r="B1491" s="62"/>
      <c r="C1491" s="62"/>
      <c r="D1491" s="62"/>
      <c r="E1491" s="57"/>
      <c r="F1491" s="77">
        <f ca="1">IFERROR(__xludf.DUMMYFUNCTION("""COMPUTED_VALUE"""),10160090)</f>
        <v>10160090</v>
      </c>
      <c r="G1491" s="77" t="str">
        <f t="shared" ca="1" si="5"/>
        <v>si</v>
      </c>
    </row>
    <row r="1492" spans="1:7" ht="12.75" x14ac:dyDescent="0.2">
      <c r="A1492" s="62">
        <f ca="1">IFERROR(__xludf.DUMMYFUNCTION("""COMPUTED_VALUE"""),10160091)</f>
        <v>10160091</v>
      </c>
      <c r="B1492" s="62" t="str">
        <f ca="1">IFERROR(__xludf.DUMMYFUNCTION("""COMPUTED_VALUE"""),"Puerto Carga Iphone 12 Pro max")</f>
        <v>Puerto Carga Iphone 12 Pro max</v>
      </c>
      <c r="C1492" s="75">
        <f ca="1">IFERROR(__xludf.DUMMYFUNCTION("""COMPUTED_VALUE"""),280)</f>
        <v>280</v>
      </c>
      <c r="D1492" s="75">
        <f ca="1">IFERROR(__xludf.DUMMYFUNCTION("""COMPUTED_VALUE"""),90)</f>
        <v>90</v>
      </c>
      <c r="E1492" s="76">
        <f ca="1">IFERROR(__xludf.DUMMYFUNCTION("""COMPUTED_VALUE"""),370)</f>
        <v>370</v>
      </c>
      <c r="F1492" s="77">
        <f ca="1">IFERROR(__xludf.DUMMYFUNCTION("""COMPUTED_VALUE"""),10160091)</f>
        <v>10160091</v>
      </c>
      <c r="G1492" s="77" t="str">
        <f t="shared" ca="1" si="5"/>
        <v>si</v>
      </c>
    </row>
    <row r="1493" spans="1:7" ht="12.75" x14ac:dyDescent="0.2">
      <c r="A1493" s="62">
        <f ca="1">IFERROR(__xludf.DUMMYFUNCTION("""COMPUTED_VALUE"""),10160092)</f>
        <v>10160092</v>
      </c>
      <c r="B1493" s="62" t="str">
        <f ca="1">IFERROR(__xludf.DUMMYFUNCTION("""COMPUTED_VALUE"""),"Puerto de Carga IPAD 3")</f>
        <v>Puerto de Carga IPAD 3</v>
      </c>
      <c r="C1493" s="75">
        <f ca="1">IFERROR(__xludf.DUMMYFUNCTION("""COMPUTED_VALUE"""),70)</f>
        <v>70</v>
      </c>
      <c r="D1493" s="75">
        <f ca="1">IFERROR(__xludf.DUMMYFUNCTION("""COMPUTED_VALUE"""),90)</f>
        <v>90</v>
      </c>
      <c r="E1493" s="76">
        <f ca="1">IFERROR(__xludf.DUMMYFUNCTION("""COMPUTED_VALUE"""),160)</f>
        <v>160</v>
      </c>
      <c r="F1493" s="77">
        <f ca="1">IFERROR(__xludf.DUMMYFUNCTION("""COMPUTED_VALUE"""),10160092)</f>
        <v>10160092</v>
      </c>
      <c r="G1493" s="77" t="str">
        <f t="shared" ca="1" si="5"/>
        <v>si</v>
      </c>
    </row>
    <row r="1494" spans="1:7" ht="12.75" x14ac:dyDescent="0.2">
      <c r="A1494" s="62">
        <f ca="1">IFERROR(__xludf.DUMMYFUNCTION("""COMPUTED_VALUE"""),10160093)</f>
        <v>10160093</v>
      </c>
      <c r="B1494" s="62" t="str">
        <f ca="1">IFERROR(__xludf.DUMMYFUNCTION("""COMPUTED_VALUE"""),"Puerto de Carga IPAD 4")</f>
        <v>Puerto de Carga IPAD 4</v>
      </c>
      <c r="C1494" s="75">
        <f ca="1">IFERROR(__xludf.DUMMYFUNCTION("""COMPUTED_VALUE"""),70)</f>
        <v>70</v>
      </c>
      <c r="D1494" s="75">
        <f ca="1">IFERROR(__xludf.DUMMYFUNCTION("""COMPUTED_VALUE"""),90)</f>
        <v>90</v>
      </c>
      <c r="E1494" s="76">
        <f ca="1">IFERROR(__xludf.DUMMYFUNCTION("""COMPUTED_VALUE"""),160)</f>
        <v>160</v>
      </c>
      <c r="F1494" s="77">
        <f ca="1">IFERROR(__xludf.DUMMYFUNCTION("""COMPUTED_VALUE"""),10160093)</f>
        <v>10160093</v>
      </c>
      <c r="G1494" s="77" t="str">
        <f t="shared" ca="1" si="5"/>
        <v>si</v>
      </c>
    </row>
    <row r="1495" spans="1:7" ht="12.75" x14ac:dyDescent="0.2">
      <c r="A1495" s="62">
        <f ca="1">IFERROR(__xludf.DUMMYFUNCTION("""COMPUTED_VALUE"""),10160094)</f>
        <v>10160094</v>
      </c>
      <c r="B1495" s="62" t="str">
        <f ca="1">IFERROR(__xludf.DUMMYFUNCTION("""COMPUTED_VALUE"""),"Puerto de Carga IPAD 5 / IPAD 2017/  IPAD 2018/  IPAD AIR")</f>
        <v>Puerto de Carga IPAD 5 / IPAD 2017/  IPAD 2018/  IPAD AIR</v>
      </c>
      <c r="C1495" s="75">
        <f ca="1">IFERROR(__xludf.DUMMYFUNCTION("""COMPUTED_VALUE"""),70)</f>
        <v>70</v>
      </c>
      <c r="D1495" s="75">
        <f ca="1">IFERROR(__xludf.DUMMYFUNCTION("""COMPUTED_VALUE"""),90)</f>
        <v>90</v>
      </c>
      <c r="E1495" s="76">
        <f ca="1">IFERROR(__xludf.DUMMYFUNCTION("""COMPUTED_VALUE"""),160)</f>
        <v>160</v>
      </c>
      <c r="F1495" s="77">
        <f ca="1">IFERROR(__xludf.DUMMYFUNCTION("""COMPUTED_VALUE"""),10160094)</f>
        <v>10160094</v>
      </c>
      <c r="G1495" s="77" t="str">
        <f t="shared" ca="1" si="5"/>
        <v>si</v>
      </c>
    </row>
    <row r="1496" spans="1:7" ht="12.75" x14ac:dyDescent="0.2">
      <c r="A1496" s="62">
        <f ca="1">IFERROR(__xludf.DUMMYFUNCTION("""COMPUTED_VALUE"""),10160095)</f>
        <v>10160095</v>
      </c>
      <c r="B1496" s="62" t="str">
        <f ca="1">IFERROR(__xludf.DUMMYFUNCTION("""COMPUTED_VALUE"""),"Puerto de Carga IPAD 6")</f>
        <v>Puerto de Carga IPAD 6</v>
      </c>
      <c r="C1496" s="75">
        <f ca="1">IFERROR(__xludf.DUMMYFUNCTION("""COMPUTED_VALUE"""),70)</f>
        <v>70</v>
      </c>
      <c r="D1496" s="75">
        <f ca="1">IFERROR(__xludf.DUMMYFUNCTION("""COMPUTED_VALUE"""),90)</f>
        <v>90</v>
      </c>
      <c r="E1496" s="76">
        <f ca="1">IFERROR(__xludf.DUMMYFUNCTION("""COMPUTED_VALUE"""),160)</f>
        <v>160</v>
      </c>
      <c r="F1496" s="77">
        <f ca="1">IFERROR(__xludf.DUMMYFUNCTION("""COMPUTED_VALUE"""),10160095)</f>
        <v>10160095</v>
      </c>
      <c r="G1496" s="77" t="str">
        <f t="shared" ca="1" si="5"/>
        <v>si</v>
      </c>
    </row>
    <row r="1497" spans="1:7" ht="12.75" x14ac:dyDescent="0.2">
      <c r="A1497" s="62">
        <f ca="1">IFERROR(__xludf.DUMMYFUNCTION("""COMPUTED_VALUE"""),10160096)</f>
        <v>10160096</v>
      </c>
      <c r="B1497" s="62" t="str">
        <f ca="1">IFERROR(__xludf.DUMMYFUNCTION("""COMPUTED_VALUE"""),"Puerto de Carga IPAD Air 3 ")</f>
        <v xml:space="preserve">Puerto de Carga IPAD Air 3 </v>
      </c>
      <c r="C1497" s="75">
        <f ca="1">IFERROR(__xludf.DUMMYFUNCTION("""COMPUTED_VALUE"""),100)</f>
        <v>100</v>
      </c>
      <c r="D1497" s="75">
        <f ca="1">IFERROR(__xludf.DUMMYFUNCTION("""COMPUTED_VALUE"""),90)</f>
        <v>90</v>
      </c>
      <c r="E1497" s="76">
        <f ca="1">IFERROR(__xludf.DUMMYFUNCTION("""COMPUTED_VALUE"""),190)</f>
        <v>190</v>
      </c>
      <c r="F1497" s="77">
        <f ca="1">IFERROR(__xludf.DUMMYFUNCTION("""COMPUTED_VALUE"""),10160096)</f>
        <v>10160096</v>
      </c>
      <c r="G1497" s="77" t="str">
        <f t="shared" ca="1" si="5"/>
        <v>si</v>
      </c>
    </row>
    <row r="1498" spans="1:7" ht="12.75" x14ac:dyDescent="0.2">
      <c r="A1498" s="62">
        <f ca="1">IFERROR(__xludf.DUMMYFUNCTION("""COMPUTED_VALUE"""),10160097)</f>
        <v>10160097</v>
      </c>
      <c r="B1498" s="62" t="str">
        <f ca="1">IFERROR(__xludf.DUMMYFUNCTION("""COMPUTED_VALUE"""),"Puerto de Carga IPAD Pro 11 / 12.9 4ta ")</f>
        <v xml:space="preserve">Puerto de Carga IPAD Pro 11 / 12.9 4ta </v>
      </c>
      <c r="C1498" s="75">
        <f ca="1">IFERROR(__xludf.DUMMYFUNCTION("""COMPUTED_VALUE"""),120)</f>
        <v>120</v>
      </c>
      <c r="D1498" s="75">
        <f ca="1">IFERROR(__xludf.DUMMYFUNCTION("""COMPUTED_VALUE"""),90)</f>
        <v>90</v>
      </c>
      <c r="E1498" s="76">
        <f ca="1">IFERROR(__xludf.DUMMYFUNCTION("""COMPUTED_VALUE"""),210)</f>
        <v>210</v>
      </c>
      <c r="F1498" s="77">
        <f ca="1">IFERROR(__xludf.DUMMYFUNCTION("""COMPUTED_VALUE"""),10160097)</f>
        <v>10160097</v>
      </c>
      <c r="G1498" s="77" t="str">
        <f t="shared" ca="1" si="5"/>
        <v>si</v>
      </c>
    </row>
    <row r="1499" spans="1:7" ht="12.75" x14ac:dyDescent="0.2">
      <c r="A1499" s="62">
        <f ca="1">IFERROR(__xludf.DUMMYFUNCTION("""COMPUTED_VALUE"""),10080199)</f>
        <v>10080199</v>
      </c>
      <c r="B1499" s="62"/>
      <c r="C1499" s="75">
        <f ca="1">IFERROR(__xludf.DUMMYFUNCTION("""COMPUTED_VALUE"""),80)</f>
        <v>80</v>
      </c>
      <c r="D1499" s="75">
        <f ca="1">IFERROR(__xludf.DUMMYFUNCTION("""COMPUTED_VALUE"""),90)</f>
        <v>90</v>
      </c>
      <c r="E1499" s="76">
        <f ca="1">IFERROR(__xludf.DUMMYFUNCTION("""COMPUTED_VALUE"""),170)</f>
        <v>170</v>
      </c>
      <c r="F1499" s="77">
        <f ca="1">IFERROR(__xludf.DUMMYFUNCTION("""COMPUTED_VALUE"""),10080199)</f>
        <v>10080199</v>
      </c>
      <c r="G1499" s="77" t="str">
        <f t="shared" ca="1" si="5"/>
        <v>si</v>
      </c>
    </row>
    <row r="1500" spans="1:7" ht="12.75" x14ac:dyDescent="0.2">
      <c r="A1500" s="62">
        <f ca="1">IFERROR(__xludf.DUMMYFUNCTION("""COMPUTED_VALUE"""),10080200)</f>
        <v>10080200</v>
      </c>
      <c r="B1500" s="62" t="str">
        <f ca="1">IFERROR(__xludf.DUMMYFUNCTION("""COMPUTED_VALUE"""),"Puerto de Carga IPAD 7 10.2 - IPAD 7/8 10.2")</f>
        <v>Puerto de Carga IPAD 7 10.2 - IPAD 7/8 10.2</v>
      </c>
      <c r="C1500" s="75">
        <f ca="1">IFERROR(__xludf.DUMMYFUNCTION("""COMPUTED_VALUE"""),80)</f>
        <v>80</v>
      </c>
      <c r="D1500" s="75">
        <f ca="1">IFERROR(__xludf.DUMMYFUNCTION("""COMPUTED_VALUE"""),90)</f>
        <v>90</v>
      </c>
      <c r="E1500" s="76">
        <f ca="1">IFERROR(__xludf.DUMMYFUNCTION("""COMPUTED_VALUE"""),170)</f>
        <v>170</v>
      </c>
      <c r="F1500" s="77">
        <f ca="1">IFERROR(__xludf.DUMMYFUNCTION("""COMPUTED_VALUE"""),10080200)</f>
        <v>10080200</v>
      </c>
      <c r="G1500" s="77" t="str">
        <f t="shared" ca="1" si="5"/>
        <v>si</v>
      </c>
    </row>
    <row r="1501" spans="1:7" ht="12.75" x14ac:dyDescent="0.2">
      <c r="A1501" s="62">
        <f ca="1">IFERROR(__xludf.DUMMYFUNCTION("""COMPUTED_VALUE"""),10080196)</f>
        <v>10080196</v>
      </c>
      <c r="B1501" s="62" t="str">
        <f ca="1">IFERROR(__xludf.DUMMYFUNCTION("""COMPUTED_VALUE"""),"Puerto de Carga IPAD AIR 2 ")</f>
        <v xml:space="preserve">Puerto de Carga IPAD AIR 2 </v>
      </c>
      <c r="C1501" s="75">
        <f ca="1">IFERROR(__xludf.DUMMYFUNCTION("""COMPUTED_VALUE"""),80)</f>
        <v>80</v>
      </c>
      <c r="D1501" s="75">
        <f ca="1">IFERROR(__xludf.DUMMYFUNCTION("""COMPUTED_VALUE"""),90)</f>
        <v>90</v>
      </c>
      <c r="E1501" s="76">
        <f ca="1">IFERROR(__xludf.DUMMYFUNCTION("""COMPUTED_VALUE"""),170)</f>
        <v>170</v>
      </c>
      <c r="F1501" s="77">
        <f ca="1">IFERROR(__xludf.DUMMYFUNCTION("""COMPUTED_VALUE"""),10080196)</f>
        <v>10080196</v>
      </c>
      <c r="G1501" s="77" t="str">
        <f t="shared" ca="1" si="5"/>
        <v>si</v>
      </c>
    </row>
    <row r="1502" spans="1:7" ht="12.75" x14ac:dyDescent="0.2">
      <c r="A1502" s="62">
        <f ca="1">IFERROR(__xludf.DUMMYFUNCTION("""COMPUTED_VALUE"""),10080197)</f>
        <v>10080197</v>
      </c>
      <c r="B1502" s="62" t="str">
        <f ca="1">IFERROR(__xludf.DUMMYFUNCTION("""COMPUTED_VALUE"""),"Puerto de Carga IPAD MINI")</f>
        <v>Puerto de Carga IPAD MINI</v>
      </c>
      <c r="C1502" s="75">
        <f ca="1">IFERROR(__xludf.DUMMYFUNCTION("""COMPUTED_VALUE"""),80)</f>
        <v>80</v>
      </c>
      <c r="D1502" s="75">
        <f ca="1">IFERROR(__xludf.DUMMYFUNCTION("""COMPUTED_VALUE"""),90)</f>
        <v>90</v>
      </c>
      <c r="E1502" s="76">
        <f ca="1">IFERROR(__xludf.DUMMYFUNCTION("""COMPUTED_VALUE"""),170)</f>
        <v>170</v>
      </c>
      <c r="F1502" s="77">
        <f ca="1">IFERROR(__xludf.DUMMYFUNCTION("""COMPUTED_VALUE"""),10080197)</f>
        <v>10080197</v>
      </c>
      <c r="G1502" s="77" t="str">
        <f t="shared" ca="1" si="5"/>
        <v>si</v>
      </c>
    </row>
    <row r="1503" spans="1:7" ht="12.75" x14ac:dyDescent="0.2">
      <c r="A1503" s="62">
        <f ca="1">IFERROR(__xludf.DUMMYFUNCTION("""COMPUTED_VALUE"""),10080198)</f>
        <v>10080198</v>
      </c>
      <c r="B1503" s="62" t="str">
        <f ca="1">IFERROR(__xludf.DUMMYFUNCTION("""COMPUTED_VALUE"""),"Puerto de Carga IPAD MINI 2 / 3")</f>
        <v>Puerto de Carga IPAD MINI 2 / 3</v>
      </c>
      <c r="C1503" s="75">
        <f ca="1">IFERROR(__xludf.DUMMYFUNCTION("""COMPUTED_VALUE"""),80)</f>
        <v>80</v>
      </c>
      <c r="D1503" s="75">
        <f ca="1">IFERROR(__xludf.DUMMYFUNCTION("""COMPUTED_VALUE"""),90)</f>
        <v>90</v>
      </c>
      <c r="E1503" s="76">
        <f ca="1">IFERROR(__xludf.DUMMYFUNCTION("""COMPUTED_VALUE"""),170)</f>
        <v>170</v>
      </c>
      <c r="F1503" s="77">
        <f ca="1">IFERROR(__xludf.DUMMYFUNCTION("""COMPUTED_VALUE"""),10080198)</f>
        <v>10080198</v>
      </c>
      <c r="G1503" s="77" t="str">
        <f t="shared" ca="1" si="5"/>
        <v>si</v>
      </c>
    </row>
    <row r="1504" spans="1:7" ht="12.75" x14ac:dyDescent="0.2">
      <c r="A1504" s="62">
        <f ca="1">IFERROR(__xludf.DUMMYFUNCTION("""COMPUTED_VALUE"""),10080201)</f>
        <v>10080201</v>
      </c>
      <c r="B1504" s="62" t="str">
        <f ca="1">IFERROR(__xludf.DUMMYFUNCTION("""COMPUTED_VALUE"""),"Puerto de Carga IPAD MINI 4")</f>
        <v>Puerto de Carga IPAD MINI 4</v>
      </c>
      <c r="C1504" s="75">
        <f ca="1">IFERROR(__xludf.DUMMYFUNCTION("""COMPUTED_VALUE"""),80)</f>
        <v>80</v>
      </c>
      <c r="D1504" s="75">
        <f ca="1">IFERROR(__xludf.DUMMYFUNCTION("""COMPUTED_VALUE"""),90)</f>
        <v>90</v>
      </c>
      <c r="E1504" s="76">
        <f ca="1">IFERROR(__xludf.DUMMYFUNCTION("""COMPUTED_VALUE"""),170)</f>
        <v>170</v>
      </c>
      <c r="F1504" s="77">
        <f ca="1">IFERROR(__xludf.DUMMYFUNCTION("""COMPUTED_VALUE"""),10080201)</f>
        <v>10080201</v>
      </c>
      <c r="G1504" s="77" t="str">
        <f t="shared" ca="1" si="5"/>
        <v>si</v>
      </c>
    </row>
    <row r="1505" spans="1:7" ht="12.75" x14ac:dyDescent="0.2">
      <c r="A1505" s="62">
        <f ca="1">IFERROR(__xludf.DUMMYFUNCTION("""COMPUTED_VALUE"""),10080202)</f>
        <v>10080202</v>
      </c>
      <c r="B1505" s="62" t="str">
        <f ca="1">IFERROR(__xludf.DUMMYFUNCTION("""COMPUTED_VALUE"""),"Puerto de Carga IPAD MINI 5")</f>
        <v>Puerto de Carga IPAD MINI 5</v>
      </c>
      <c r="C1505" s="75">
        <f ca="1">IFERROR(__xludf.DUMMYFUNCTION("""COMPUTED_VALUE"""),80)</f>
        <v>80</v>
      </c>
      <c r="D1505" s="75">
        <f ca="1">IFERROR(__xludf.DUMMYFUNCTION("""COMPUTED_VALUE"""),90)</f>
        <v>90</v>
      </c>
      <c r="E1505" s="76">
        <f ca="1">IFERROR(__xludf.DUMMYFUNCTION("""COMPUTED_VALUE"""),170)</f>
        <v>170</v>
      </c>
      <c r="F1505" s="77">
        <f ca="1">IFERROR(__xludf.DUMMYFUNCTION("""COMPUTED_VALUE"""),10080202)</f>
        <v>10080202</v>
      </c>
      <c r="G1505" s="77" t="str">
        <f t="shared" ca="1" si="5"/>
        <v>si</v>
      </c>
    </row>
    <row r="1506" spans="1:7" ht="12.75" x14ac:dyDescent="0.2">
      <c r="A1506" s="62">
        <f ca="1">IFERROR(__xludf.DUMMYFUNCTION("""COMPUTED_VALUE"""),10080203)</f>
        <v>10080203</v>
      </c>
      <c r="B1506" s="62" t="str">
        <f ca="1">IFERROR(__xludf.DUMMYFUNCTION("""COMPUTED_VALUE"""),"Puerto de Carga IPAD PRO 10.5 2017")</f>
        <v>Puerto de Carga IPAD PRO 10.5 2017</v>
      </c>
      <c r="C1506" s="75">
        <f ca="1">IFERROR(__xludf.DUMMYFUNCTION("""COMPUTED_VALUE"""),80)</f>
        <v>80</v>
      </c>
      <c r="D1506" s="75">
        <f ca="1">IFERROR(__xludf.DUMMYFUNCTION("""COMPUTED_VALUE"""),90)</f>
        <v>90</v>
      </c>
      <c r="E1506" s="76">
        <f ca="1">IFERROR(__xludf.DUMMYFUNCTION("""COMPUTED_VALUE"""),170)</f>
        <v>170</v>
      </c>
      <c r="F1506" s="77">
        <f ca="1">IFERROR(__xludf.DUMMYFUNCTION("""COMPUTED_VALUE"""),10080203)</f>
        <v>10080203</v>
      </c>
      <c r="G1506" s="77" t="str">
        <f t="shared" ca="1" si="5"/>
        <v>si</v>
      </c>
    </row>
    <row r="1507" spans="1:7" ht="12.75" x14ac:dyDescent="0.2">
      <c r="A1507" s="62">
        <f ca="1">IFERROR(__xludf.DUMMYFUNCTION("""COMPUTED_VALUE"""),10080207)</f>
        <v>10080207</v>
      </c>
      <c r="B1507" s="62" t="str">
        <f ca="1">IFERROR(__xludf.DUMMYFUNCTION("""COMPUTED_VALUE"""),"Puerto de Carga IPAD PRO 12.9 1nd ")</f>
        <v xml:space="preserve">Puerto de Carga IPAD PRO 12.9 1nd </v>
      </c>
      <c r="C1507" s="75">
        <f ca="1">IFERROR(__xludf.DUMMYFUNCTION("""COMPUTED_VALUE"""),80)</f>
        <v>80</v>
      </c>
      <c r="D1507" s="75">
        <f ca="1">IFERROR(__xludf.DUMMYFUNCTION("""COMPUTED_VALUE"""),90)</f>
        <v>90</v>
      </c>
      <c r="E1507" s="76">
        <f ca="1">IFERROR(__xludf.DUMMYFUNCTION("""COMPUTED_VALUE"""),170)</f>
        <v>170</v>
      </c>
      <c r="F1507" s="77">
        <f ca="1">IFERROR(__xludf.DUMMYFUNCTION("""COMPUTED_VALUE"""),10080207)</f>
        <v>10080207</v>
      </c>
      <c r="G1507" s="77" t="str">
        <f t="shared" ca="1" si="5"/>
        <v>si</v>
      </c>
    </row>
    <row r="1508" spans="1:7" ht="12.75" x14ac:dyDescent="0.2">
      <c r="A1508" s="62">
        <f ca="1">IFERROR(__xludf.DUMMYFUNCTION("""COMPUTED_VALUE"""),10080205)</f>
        <v>10080205</v>
      </c>
      <c r="B1508" s="62" t="str">
        <f ca="1">IFERROR(__xludf.DUMMYFUNCTION("""COMPUTED_VALUE"""),"Puerto de Carga IPAD PRO 12.9 2nd ")</f>
        <v xml:space="preserve">Puerto de Carga IPAD PRO 12.9 2nd </v>
      </c>
      <c r="C1508" s="75">
        <f ca="1">IFERROR(__xludf.DUMMYFUNCTION("""COMPUTED_VALUE"""),80)</f>
        <v>80</v>
      </c>
      <c r="D1508" s="75">
        <f ca="1">IFERROR(__xludf.DUMMYFUNCTION("""COMPUTED_VALUE"""),90)</f>
        <v>90</v>
      </c>
      <c r="E1508" s="76">
        <f ca="1">IFERROR(__xludf.DUMMYFUNCTION("""COMPUTED_VALUE"""),170)</f>
        <v>170</v>
      </c>
      <c r="F1508" s="77">
        <f ca="1">IFERROR(__xludf.DUMMYFUNCTION("""COMPUTED_VALUE"""),10080205)</f>
        <v>10080205</v>
      </c>
      <c r="G1508" s="77" t="str">
        <f t="shared" ca="1" si="5"/>
        <v>si</v>
      </c>
    </row>
    <row r="1509" spans="1:7" ht="12.75" x14ac:dyDescent="0.2">
      <c r="A1509" s="62">
        <f ca="1">IFERROR(__xludf.DUMMYFUNCTION("""COMPUTED_VALUE"""),10080206)</f>
        <v>10080206</v>
      </c>
      <c r="B1509" s="62" t="str">
        <f ca="1">IFERROR(__xludf.DUMMYFUNCTION("""COMPUTED_VALUE"""),"Puerto de Carga IPAD PRO 12.9 3nd ")</f>
        <v xml:space="preserve">Puerto de Carga IPAD PRO 12.9 3nd </v>
      </c>
      <c r="C1509" s="75">
        <f ca="1">IFERROR(__xludf.DUMMYFUNCTION("""COMPUTED_VALUE"""),80)</f>
        <v>80</v>
      </c>
      <c r="D1509" s="75">
        <f ca="1">IFERROR(__xludf.DUMMYFUNCTION("""COMPUTED_VALUE"""),90)</f>
        <v>90</v>
      </c>
      <c r="E1509" s="76">
        <f ca="1">IFERROR(__xludf.DUMMYFUNCTION("""COMPUTED_VALUE"""),170)</f>
        <v>170</v>
      </c>
      <c r="F1509" s="77">
        <f ca="1">IFERROR(__xludf.DUMMYFUNCTION("""COMPUTED_VALUE"""),10080206)</f>
        <v>10080206</v>
      </c>
      <c r="G1509" s="77" t="str">
        <f t="shared" ca="1" si="5"/>
        <v>si</v>
      </c>
    </row>
    <row r="1510" spans="1:7" ht="12.75" x14ac:dyDescent="0.2">
      <c r="A1510" s="62">
        <f ca="1">IFERROR(__xludf.DUMMYFUNCTION("""COMPUTED_VALUE"""),10080204)</f>
        <v>10080204</v>
      </c>
      <c r="B1510" s="62" t="str">
        <f ca="1">IFERROR(__xludf.DUMMYFUNCTION("""COMPUTED_VALUE"""),"Puerto de Carga IPAD PRO 9.7")</f>
        <v>Puerto de Carga IPAD PRO 9.7</v>
      </c>
      <c r="C1510" s="75">
        <f ca="1">IFERROR(__xludf.DUMMYFUNCTION("""COMPUTED_VALUE"""),80)</f>
        <v>80</v>
      </c>
      <c r="D1510" s="75">
        <f ca="1">IFERROR(__xludf.DUMMYFUNCTION("""COMPUTED_VALUE"""),90)</f>
        <v>90</v>
      </c>
      <c r="E1510" s="76">
        <f ca="1">IFERROR(__xludf.DUMMYFUNCTION("""COMPUTED_VALUE"""),170)</f>
        <v>170</v>
      </c>
      <c r="F1510" s="77">
        <f ca="1">IFERROR(__xludf.DUMMYFUNCTION("""COMPUTED_VALUE"""),10080204)</f>
        <v>10080204</v>
      </c>
      <c r="G1510" s="77" t="str">
        <f t="shared" ca="1" si="5"/>
        <v>si</v>
      </c>
    </row>
    <row r="1511" spans="1:7" ht="12.75" x14ac:dyDescent="0.2">
      <c r="A1511" s="62">
        <f ca="1">IFERROR(__xludf.DUMMYFUNCTION("""COMPUTED_VALUE"""),10160315)</f>
        <v>10160315</v>
      </c>
      <c r="B1511" s="62" t="str">
        <f ca="1">IFERROR(__xludf.DUMMYFUNCTION("""COMPUTED_VALUE"""),"Puerto Carga Macbook a1708 Soldado")</f>
        <v>Puerto Carga Macbook a1708 Soldado</v>
      </c>
      <c r="C1511" s="75">
        <f ca="1">IFERROR(__xludf.DUMMYFUNCTION("""COMPUTED_VALUE"""),450)</f>
        <v>450</v>
      </c>
      <c r="D1511" s="75">
        <f ca="1">IFERROR(__xludf.DUMMYFUNCTION("""COMPUTED_VALUE"""),50)</f>
        <v>50</v>
      </c>
      <c r="E1511" s="76">
        <f ca="1">IFERROR(__xludf.DUMMYFUNCTION("""COMPUTED_VALUE"""),500)</f>
        <v>500</v>
      </c>
      <c r="F1511" s="77">
        <f ca="1">IFERROR(__xludf.DUMMYFUNCTION("""COMPUTED_VALUE"""),10160315)</f>
        <v>10160315</v>
      </c>
      <c r="G1511" s="77" t="str">
        <f t="shared" ca="1" si="5"/>
        <v>si</v>
      </c>
    </row>
    <row r="1512" spans="1:7" ht="12.75" x14ac:dyDescent="0.2">
      <c r="A1512" s="62">
        <f ca="1">IFERROR(__xludf.DUMMYFUNCTION("""COMPUTED_VALUE"""),10080112)</f>
        <v>10080112</v>
      </c>
      <c r="B1512" s="62" t="str">
        <f ca="1">IFERROR(__xludf.DUMMYFUNCTION("""COMPUTED_VALUE"""),"Puerto de Carga  Huawei mate 10 Pro Original")</f>
        <v>Puerto de Carga  Huawei mate 10 Pro Original</v>
      </c>
      <c r="C1512" s="75">
        <f ca="1">IFERROR(__xludf.DUMMYFUNCTION("""COMPUTED_VALUE"""),75)</f>
        <v>75</v>
      </c>
      <c r="D1512" s="75">
        <f ca="1">IFERROR(__xludf.DUMMYFUNCTION("""COMPUTED_VALUE"""),50)</f>
        <v>50</v>
      </c>
      <c r="E1512" s="76">
        <f ca="1">IFERROR(__xludf.DUMMYFUNCTION("""COMPUTED_VALUE"""),125)</f>
        <v>125</v>
      </c>
      <c r="F1512" s="77">
        <f ca="1">IFERROR(__xludf.DUMMYFUNCTION("""COMPUTED_VALUE"""),10080112)</f>
        <v>10080112</v>
      </c>
      <c r="G1512" s="77" t="str">
        <f t="shared" ca="1" si="5"/>
        <v>si</v>
      </c>
    </row>
    <row r="1513" spans="1:7" ht="12.75" x14ac:dyDescent="0.2">
      <c r="A1513" s="62">
        <f ca="1">IFERROR(__xludf.DUMMYFUNCTION("""COMPUTED_VALUE"""),10080111)</f>
        <v>10080111</v>
      </c>
      <c r="B1513" s="62" t="str">
        <f ca="1">IFERROR(__xludf.DUMMYFUNCTION("""COMPUTED_VALUE"""),"Puerto de Carga  Huawei mate 20 Pro Original")</f>
        <v>Puerto de Carga  Huawei mate 20 Pro Original</v>
      </c>
      <c r="C1513" s="75">
        <f ca="1">IFERROR(__xludf.DUMMYFUNCTION("""COMPUTED_VALUE"""),65)</f>
        <v>65</v>
      </c>
      <c r="D1513" s="75">
        <f ca="1">IFERROR(__xludf.DUMMYFUNCTION("""COMPUTED_VALUE"""),50)</f>
        <v>50</v>
      </c>
      <c r="E1513" s="76">
        <f ca="1">IFERROR(__xludf.DUMMYFUNCTION("""COMPUTED_VALUE"""),115)</f>
        <v>115</v>
      </c>
      <c r="F1513" s="77">
        <f ca="1">IFERROR(__xludf.DUMMYFUNCTION("""COMPUTED_VALUE"""),10080111)</f>
        <v>10080111</v>
      </c>
      <c r="G1513" s="77" t="str">
        <f t="shared" ca="1" si="5"/>
        <v>si</v>
      </c>
    </row>
    <row r="1514" spans="1:7" ht="12.75" x14ac:dyDescent="0.2">
      <c r="A1514" s="62">
        <f ca="1">IFERROR(__xludf.DUMMYFUNCTION("""COMPUTED_VALUE"""),10080114)</f>
        <v>10080114</v>
      </c>
      <c r="B1514" s="62" t="str">
        <f ca="1">IFERROR(__xludf.DUMMYFUNCTION("""COMPUTED_VALUE"""),"Puerto de Carga  Huawei mate 30 Lite Original")</f>
        <v>Puerto de Carga  Huawei mate 30 Lite Original</v>
      </c>
      <c r="C1514" s="75">
        <f ca="1">IFERROR(__xludf.DUMMYFUNCTION("""COMPUTED_VALUE"""),75)</f>
        <v>75</v>
      </c>
      <c r="D1514" s="75">
        <f ca="1">IFERROR(__xludf.DUMMYFUNCTION("""COMPUTED_VALUE"""),50)</f>
        <v>50</v>
      </c>
      <c r="E1514" s="76">
        <f ca="1">IFERROR(__xludf.DUMMYFUNCTION("""COMPUTED_VALUE"""),125)</f>
        <v>125</v>
      </c>
      <c r="F1514" s="77">
        <f ca="1">IFERROR(__xludf.DUMMYFUNCTION("""COMPUTED_VALUE"""),10080114)</f>
        <v>10080114</v>
      </c>
      <c r="G1514" s="77" t="str">
        <f t="shared" ca="1" si="5"/>
        <v>si</v>
      </c>
    </row>
    <row r="1515" spans="1:7" ht="12.75" x14ac:dyDescent="0.2">
      <c r="A1515" s="62">
        <f ca="1">IFERROR(__xludf.DUMMYFUNCTION("""COMPUTED_VALUE"""),10080109)</f>
        <v>10080109</v>
      </c>
      <c r="B1515" s="62" t="str">
        <f ca="1">IFERROR(__xludf.DUMMYFUNCTION("""COMPUTED_VALUE"""),"Puerto de Carga  Huawei mate 30 Original")</f>
        <v>Puerto de Carga  Huawei mate 30 Original</v>
      </c>
      <c r="C1515" s="75">
        <f ca="1">IFERROR(__xludf.DUMMYFUNCTION("""COMPUTED_VALUE"""),65)</f>
        <v>65</v>
      </c>
      <c r="D1515" s="75">
        <f ca="1">IFERROR(__xludf.DUMMYFUNCTION("""COMPUTED_VALUE"""),50)</f>
        <v>50</v>
      </c>
      <c r="E1515" s="76">
        <f ca="1">IFERROR(__xludf.DUMMYFUNCTION("""COMPUTED_VALUE"""),115)</f>
        <v>115</v>
      </c>
      <c r="F1515" s="77">
        <f ca="1">IFERROR(__xludf.DUMMYFUNCTION("""COMPUTED_VALUE"""),10080109)</f>
        <v>10080109</v>
      </c>
      <c r="G1515" s="77" t="str">
        <f t="shared" ca="1" si="5"/>
        <v>si</v>
      </c>
    </row>
    <row r="1516" spans="1:7" ht="12.75" x14ac:dyDescent="0.2">
      <c r="A1516" s="62">
        <f ca="1">IFERROR(__xludf.DUMMYFUNCTION("""COMPUTED_VALUE"""),10080110)</f>
        <v>10080110</v>
      </c>
      <c r="B1516" s="62" t="str">
        <f ca="1">IFERROR(__xludf.DUMMYFUNCTION("""COMPUTED_VALUE"""),"Puerto de Carga  Huawei mate 30 Pro Original")</f>
        <v>Puerto de Carga  Huawei mate 30 Pro Original</v>
      </c>
      <c r="C1516" s="75">
        <f ca="1">IFERROR(__xludf.DUMMYFUNCTION("""COMPUTED_VALUE"""),65)</f>
        <v>65</v>
      </c>
      <c r="D1516" s="75">
        <f ca="1">IFERROR(__xludf.DUMMYFUNCTION("""COMPUTED_VALUE"""),50)</f>
        <v>50</v>
      </c>
      <c r="E1516" s="76">
        <f ca="1">IFERROR(__xludf.DUMMYFUNCTION("""COMPUTED_VALUE"""),115)</f>
        <v>115</v>
      </c>
      <c r="F1516" s="77">
        <f ca="1">IFERROR(__xludf.DUMMYFUNCTION("""COMPUTED_VALUE"""),10080110)</f>
        <v>10080110</v>
      </c>
      <c r="G1516" s="77" t="str">
        <f t="shared" ca="1" si="5"/>
        <v>si</v>
      </c>
    </row>
    <row r="1517" spans="1:7" ht="12.75" x14ac:dyDescent="0.2">
      <c r="A1517" s="62">
        <f ca="1">IFERROR(__xludf.DUMMYFUNCTION("""COMPUTED_VALUE"""),10080240)</f>
        <v>10080240</v>
      </c>
      <c r="B1517" s="62" t="str">
        <f ca="1">IFERROR(__xludf.DUMMYFUNCTION("""COMPUTED_VALUE"""),"Puerto de Carga Huawei mate 10")</f>
        <v>Puerto de Carga Huawei mate 10</v>
      </c>
      <c r="C1517" s="75">
        <f ca="1">IFERROR(__xludf.DUMMYFUNCTION("""COMPUTED_VALUE"""),60)</f>
        <v>60</v>
      </c>
      <c r="D1517" s="75">
        <f ca="1">IFERROR(__xludf.DUMMYFUNCTION("""COMPUTED_VALUE"""),50)</f>
        <v>50</v>
      </c>
      <c r="E1517" s="76">
        <f ca="1">IFERROR(__xludf.DUMMYFUNCTION("""COMPUTED_VALUE"""),110)</f>
        <v>110</v>
      </c>
      <c r="F1517" s="77">
        <f ca="1">IFERROR(__xludf.DUMMYFUNCTION("""COMPUTED_VALUE"""),10080240)</f>
        <v>10080240</v>
      </c>
      <c r="G1517" s="77" t="str">
        <f t="shared" ca="1" si="5"/>
        <v>si</v>
      </c>
    </row>
    <row r="1518" spans="1:7" ht="12.75" x14ac:dyDescent="0.2">
      <c r="A1518" s="62">
        <f ca="1">IFERROR(__xludf.DUMMYFUNCTION("""COMPUTED_VALUE"""),10080241)</f>
        <v>10080241</v>
      </c>
      <c r="B1518" s="62" t="str">
        <f ca="1">IFERROR(__xludf.DUMMYFUNCTION("""COMPUTED_VALUE"""),"Puerto de Carga Huawei mate 10 lite")</f>
        <v>Puerto de Carga Huawei mate 10 lite</v>
      </c>
      <c r="C1518" s="75">
        <f ca="1">IFERROR(__xludf.DUMMYFUNCTION("""COMPUTED_VALUE"""),50)</f>
        <v>50</v>
      </c>
      <c r="D1518" s="75">
        <f ca="1">IFERROR(__xludf.DUMMYFUNCTION("""COMPUTED_VALUE"""),50)</f>
        <v>50</v>
      </c>
      <c r="E1518" s="76">
        <f ca="1">IFERROR(__xludf.DUMMYFUNCTION("""COMPUTED_VALUE"""),100)</f>
        <v>100</v>
      </c>
      <c r="F1518" s="77">
        <f ca="1">IFERROR(__xludf.DUMMYFUNCTION("""COMPUTED_VALUE"""),10080241)</f>
        <v>10080241</v>
      </c>
      <c r="G1518" s="77" t="str">
        <f t="shared" ca="1" si="5"/>
        <v>si</v>
      </c>
    </row>
    <row r="1519" spans="1:7" ht="12.75" x14ac:dyDescent="0.2">
      <c r="A1519" s="62">
        <f ca="1">IFERROR(__xludf.DUMMYFUNCTION("""COMPUTED_VALUE"""),10080244)</f>
        <v>10080244</v>
      </c>
      <c r="B1519" s="62" t="str">
        <f ca="1">IFERROR(__xludf.DUMMYFUNCTION("""COMPUTED_VALUE"""),"Puerto de Carga Huawei mate 20 ")</f>
        <v xml:space="preserve">Puerto de Carga Huawei mate 20 </v>
      </c>
      <c r="C1519" s="75">
        <f ca="1">IFERROR(__xludf.DUMMYFUNCTION("""COMPUTED_VALUE"""),80)</f>
        <v>80</v>
      </c>
      <c r="D1519" s="75">
        <f ca="1">IFERROR(__xludf.DUMMYFUNCTION("""COMPUTED_VALUE"""),50)</f>
        <v>50</v>
      </c>
      <c r="E1519" s="76">
        <f ca="1">IFERROR(__xludf.DUMMYFUNCTION("""COMPUTED_VALUE"""),130)</f>
        <v>130</v>
      </c>
      <c r="F1519" s="77">
        <f ca="1">IFERROR(__xludf.DUMMYFUNCTION("""COMPUTED_VALUE"""),10080244)</f>
        <v>10080244</v>
      </c>
      <c r="G1519" s="77" t="str">
        <f t="shared" ca="1" si="5"/>
        <v>si</v>
      </c>
    </row>
    <row r="1520" spans="1:7" ht="12.75" x14ac:dyDescent="0.2">
      <c r="A1520" s="62">
        <f ca="1">IFERROR(__xludf.DUMMYFUNCTION("""COMPUTED_VALUE"""),10080113)</f>
        <v>10080113</v>
      </c>
      <c r="B1520" s="62" t="str">
        <f ca="1">IFERROR(__xludf.DUMMYFUNCTION("""COMPUTED_VALUE"""),"Puerto de Carga Huawei mate 20 lite Original")</f>
        <v>Puerto de Carga Huawei mate 20 lite Original</v>
      </c>
      <c r="C1520" s="75">
        <f ca="1">IFERROR(__xludf.DUMMYFUNCTION("""COMPUTED_VALUE"""),75)</f>
        <v>75</v>
      </c>
      <c r="D1520" s="75">
        <f ca="1">IFERROR(__xludf.DUMMYFUNCTION("""COMPUTED_VALUE"""),50)</f>
        <v>50</v>
      </c>
      <c r="E1520" s="76">
        <f ca="1">IFERROR(__xludf.DUMMYFUNCTION("""COMPUTED_VALUE"""),125)</f>
        <v>125</v>
      </c>
      <c r="F1520" s="77">
        <f ca="1">IFERROR(__xludf.DUMMYFUNCTION("""COMPUTED_VALUE"""),10080113)</f>
        <v>10080113</v>
      </c>
      <c r="G1520" s="77" t="str">
        <f t="shared" ca="1" si="5"/>
        <v>si</v>
      </c>
    </row>
    <row r="1521" spans="1:7" ht="12.75" x14ac:dyDescent="0.2">
      <c r="A1521" s="62">
        <f ca="1">IFERROR(__xludf.DUMMYFUNCTION("""COMPUTED_VALUE"""),10080237)</f>
        <v>10080237</v>
      </c>
      <c r="B1521" s="62" t="str">
        <f ca="1">IFERROR(__xludf.DUMMYFUNCTION("""COMPUTED_VALUE"""),"Puerto de Carga Huawei mate 8")</f>
        <v>Puerto de Carga Huawei mate 8</v>
      </c>
      <c r="C1521" s="75">
        <f ca="1">IFERROR(__xludf.DUMMYFUNCTION("""COMPUTED_VALUE"""),50)</f>
        <v>50</v>
      </c>
      <c r="D1521" s="75">
        <f ca="1">IFERROR(__xludf.DUMMYFUNCTION("""COMPUTED_VALUE"""),50)</f>
        <v>50</v>
      </c>
      <c r="E1521" s="76">
        <f ca="1">IFERROR(__xludf.DUMMYFUNCTION("""COMPUTED_VALUE"""),100)</f>
        <v>100</v>
      </c>
      <c r="F1521" s="77">
        <f ca="1">IFERROR(__xludf.DUMMYFUNCTION("""COMPUTED_VALUE"""),10080237)</f>
        <v>10080237</v>
      </c>
      <c r="G1521" s="77" t="str">
        <f t="shared" ca="1" si="5"/>
        <v>si</v>
      </c>
    </row>
    <row r="1522" spans="1:7" ht="12.75" x14ac:dyDescent="0.2">
      <c r="A1522" s="62">
        <f ca="1">IFERROR(__xludf.DUMMYFUNCTION("""COMPUTED_VALUE"""),10080238)</f>
        <v>10080238</v>
      </c>
      <c r="B1522" s="62" t="str">
        <f ca="1">IFERROR(__xludf.DUMMYFUNCTION("""COMPUTED_VALUE"""),"Puerto de Carga Huawei mate 9")</f>
        <v>Puerto de Carga Huawei mate 9</v>
      </c>
      <c r="C1522" s="75">
        <f ca="1">IFERROR(__xludf.DUMMYFUNCTION("""COMPUTED_VALUE"""),60)</f>
        <v>60</v>
      </c>
      <c r="D1522" s="75">
        <f ca="1">IFERROR(__xludf.DUMMYFUNCTION("""COMPUTED_VALUE"""),50)</f>
        <v>50</v>
      </c>
      <c r="E1522" s="76">
        <f ca="1">IFERROR(__xludf.DUMMYFUNCTION("""COMPUTED_VALUE"""),110)</f>
        <v>110</v>
      </c>
      <c r="F1522" s="77">
        <f ca="1">IFERROR(__xludf.DUMMYFUNCTION("""COMPUTED_VALUE"""),10080238)</f>
        <v>10080238</v>
      </c>
      <c r="G1522" s="77" t="str">
        <f t="shared" ca="1" si="5"/>
        <v>si</v>
      </c>
    </row>
    <row r="1523" spans="1:7" ht="12.75" x14ac:dyDescent="0.2">
      <c r="A1523" s="62">
        <f ca="1">IFERROR(__xludf.DUMMYFUNCTION("""COMPUTED_VALUE"""),10080239)</f>
        <v>10080239</v>
      </c>
      <c r="B1523" s="62" t="str">
        <f ca="1">IFERROR(__xludf.DUMMYFUNCTION("""COMPUTED_VALUE"""),"Puerto de Carga Huawei mate 9 lite")</f>
        <v>Puerto de Carga Huawei mate 9 lite</v>
      </c>
      <c r="C1523" s="75">
        <f ca="1">IFERROR(__xludf.DUMMYFUNCTION("""COMPUTED_VALUE"""),50)</f>
        <v>50</v>
      </c>
      <c r="D1523" s="75">
        <f ca="1">IFERROR(__xludf.DUMMYFUNCTION("""COMPUTED_VALUE"""),50)</f>
        <v>50</v>
      </c>
      <c r="E1523" s="76">
        <f ca="1">IFERROR(__xludf.DUMMYFUNCTION("""COMPUTED_VALUE"""),100)</f>
        <v>100</v>
      </c>
      <c r="F1523" s="77">
        <f ca="1">IFERROR(__xludf.DUMMYFUNCTION("""COMPUTED_VALUE"""),10080239)</f>
        <v>10080239</v>
      </c>
      <c r="G1523" s="77" t="str">
        <f t="shared" ca="1" si="5"/>
        <v>si</v>
      </c>
    </row>
    <row r="1524" spans="1:7" ht="12.75" x14ac:dyDescent="0.2">
      <c r="A1524" s="62">
        <f ca="1">IFERROR(__xludf.DUMMYFUNCTION("""COMPUTED_VALUE"""),10080252)</f>
        <v>10080252</v>
      </c>
      <c r="B1524" s="62" t="str">
        <f ca="1">IFERROR(__xludf.DUMMYFUNCTION("""COMPUTED_VALUE"""),"Puerto de Carga Huawei mate S")</f>
        <v>Puerto de Carga Huawei mate S</v>
      </c>
      <c r="C1524" s="75">
        <f ca="1">IFERROR(__xludf.DUMMYFUNCTION("""COMPUTED_VALUE"""),50)</f>
        <v>50</v>
      </c>
      <c r="D1524" s="75">
        <f ca="1">IFERROR(__xludf.DUMMYFUNCTION("""COMPUTED_VALUE"""),50)</f>
        <v>50</v>
      </c>
      <c r="E1524" s="76">
        <f ca="1">IFERROR(__xludf.DUMMYFUNCTION("""COMPUTED_VALUE"""),100)</f>
        <v>100</v>
      </c>
      <c r="F1524" s="77">
        <f ca="1">IFERROR(__xludf.DUMMYFUNCTION("""COMPUTED_VALUE"""),10080252)</f>
        <v>10080252</v>
      </c>
      <c r="G1524" s="77" t="str">
        <f t="shared" ca="1" si="5"/>
        <v>si</v>
      </c>
    </row>
    <row r="1525" spans="1:7" ht="12.75" x14ac:dyDescent="0.2">
      <c r="A1525" s="62">
        <f ca="1">IFERROR(__xludf.DUMMYFUNCTION("""COMPUTED_VALUE"""),10080254)</f>
        <v>10080254</v>
      </c>
      <c r="B1525" s="62" t="str">
        <f ca="1">IFERROR(__xludf.DUMMYFUNCTION("""COMPUTED_VALUE"""),"Puerto de Carga Huawei nova 5t")</f>
        <v>Puerto de Carga Huawei nova 5t</v>
      </c>
      <c r="C1525" s="75">
        <f ca="1">IFERROR(__xludf.DUMMYFUNCTION("""COMPUTED_VALUE"""),60)</f>
        <v>60</v>
      </c>
      <c r="D1525" s="75">
        <f ca="1">IFERROR(__xludf.DUMMYFUNCTION("""COMPUTED_VALUE"""),50)</f>
        <v>50</v>
      </c>
      <c r="E1525" s="76">
        <f ca="1">IFERROR(__xludf.DUMMYFUNCTION("""COMPUTED_VALUE"""),110)</f>
        <v>110</v>
      </c>
      <c r="F1525" s="77">
        <f ca="1">IFERROR(__xludf.DUMMYFUNCTION("""COMPUTED_VALUE"""),10080254)</f>
        <v>10080254</v>
      </c>
      <c r="G1525" s="77" t="str">
        <f t="shared" ca="1" si="5"/>
        <v>si</v>
      </c>
    </row>
    <row r="1526" spans="1:7" ht="12.75" x14ac:dyDescent="0.2">
      <c r="A1526" s="62">
        <f ca="1">IFERROR(__xludf.DUMMYFUNCTION("""COMPUTED_VALUE"""),10080253)</f>
        <v>10080253</v>
      </c>
      <c r="B1526" s="62" t="str">
        <f ca="1">IFERROR(__xludf.DUMMYFUNCTION("""COMPUTED_VALUE"""),"Puerto de Carga Huawei nova plus")</f>
        <v>Puerto de Carga Huawei nova plus</v>
      </c>
      <c r="C1526" s="75">
        <f ca="1">IFERROR(__xludf.DUMMYFUNCTION("""COMPUTED_VALUE"""),60)</f>
        <v>60</v>
      </c>
      <c r="D1526" s="75">
        <f ca="1">IFERROR(__xludf.DUMMYFUNCTION("""COMPUTED_VALUE"""),50)</f>
        <v>50</v>
      </c>
      <c r="E1526" s="76">
        <f ca="1">IFERROR(__xludf.DUMMYFUNCTION("""COMPUTED_VALUE"""),110)</f>
        <v>110</v>
      </c>
      <c r="F1526" s="77">
        <f ca="1">IFERROR(__xludf.DUMMYFUNCTION("""COMPUTED_VALUE"""),10080253)</f>
        <v>10080253</v>
      </c>
      <c r="G1526" s="77" t="str">
        <f t="shared" ca="1" si="5"/>
        <v>si</v>
      </c>
    </row>
    <row r="1527" spans="1:7" ht="12.75" x14ac:dyDescent="0.2">
      <c r="A1527" s="62">
        <f ca="1">IFERROR(__xludf.DUMMYFUNCTION("""COMPUTED_VALUE"""),10080228)</f>
        <v>10080228</v>
      </c>
      <c r="B1527" s="62" t="str">
        <f ca="1">IFERROR(__xludf.DUMMYFUNCTION("""COMPUTED_VALUE"""),"Puerto de Carga Huawei P10")</f>
        <v>Puerto de Carga Huawei P10</v>
      </c>
      <c r="C1527" s="75">
        <f ca="1">IFERROR(__xludf.DUMMYFUNCTION("""COMPUTED_VALUE"""),70)</f>
        <v>70</v>
      </c>
      <c r="D1527" s="75">
        <f ca="1">IFERROR(__xludf.DUMMYFUNCTION("""COMPUTED_VALUE"""),50)</f>
        <v>50</v>
      </c>
      <c r="E1527" s="76">
        <f ca="1">IFERROR(__xludf.DUMMYFUNCTION("""COMPUTED_VALUE"""),120)</f>
        <v>120</v>
      </c>
      <c r="F1527" s="77">
        <f ca="1">IFERROR(__xludf.DUMMYFUNCTION("""COMPUTED_VALUE"""),10080228)</f>
        <v>10080228</v>
      </c>
      <c r="G1527" s="77" t="str">
        <f t="shared" ca="1" si="5"/>
        <v>si</v>
      </c>
    </row>
    <row r="1528" spans="1:7" ht="12.75" x14ac:dyDescent="0.2">
      <c r="A1528" s="62">
        <f ca="1">IFERROR(__xludf.DUMMYFUNCTION("""COMPUTED_VALUE"""),10080229)</f>
        <v>10080229</v>
      </c>
      <c r="B1528" s="62" t="str">
        <f ca="1">IFERROR(__xludf.DUMMYFUNCTION("""COMPUTED_VALUE"""),"Puerto de Carga Huawei P10 LITE")</f>
        <v>Puerto de Carga Huawei P10 LITE</v>
      </c>
      <c r="C1528" s="75">
        <f ca="1">IFERROR(__xludf.DUMMYFUNCTION("""COMPUTED_VALUE"""),50)</f>
        <v>50</v>
      </c>
      <c r="D1528" s="75">
        <f ca="1">IFERROR(__xludf.DUMMYFUNCTION("""COMPUTED_VALUE"""),50)</f>
        <v>50</v>
      </c>
      <c r="E1528" s="76">
        <f ca="1">IFERROR(__xludf.DUMMYFUNCTION("""COMPUTED_VALUE"""),100)</f>
        <v>100</v>
      </c>
      <c r="F1528" s="77">
        <f ca="1">IFERROR(__xludf.DUMMYFUNCTION("""COMPUTED_VALUE"""),10080229)</f>
        <v>10080229</v>
      </c>
      <c r="G1528" s="77" t="str">
        <f t="shared" ca="1" si="5"/>
        <v>si</v>
      </c>
    </row>
    <row r="1529" spans="1:7" ht="12.75" x14ac:dyDescent="0.2">
      <c r="A1529" s="62">
        <f ca="1">IFERROR(__xludf.DUMMYFUNCTION("""COMPUTED_VALUE"""),10080230)</f>
        <v>10080230</v>
      </c>
      <c r="B1529" s="62" t="str">
        <f ca="1">IFERROR(__xludf.DUMMYFUNCTION("""COMPUTED_VALUE"""),"Puerto de Carga Huawei P10 SELFIE")</f>
        <v>Puerto de Carga Huawei P10 SELFIE</v>
      </c>
      <c r="C1529" s="75">
        <f ca="1">IFERROR(__xludf.DUMMYFUNCTION("""COMPUTED_VALUE"""),50)</f>
        <v>50</v>
      </c>
      <c r="D1529" s="75">
        <f ca="1">IFERROR(__xludf.DUMMYFUNCTION("""COMPUTED_VALUE"""),50)</f>
        <v>50</v>
      </c>
      <c r="E1529" s="76">
        <f ca="1">IFERROR(__xludf.DUMMYFUNCTION("""COMPUTED_VALUE"""),100)</f>
        <v>100</v>
      </c>
      <c r="F1529" s="77">
        <f ca="1">IFERROR(__xludf.DUMMYFUNCTION("""COMPUTED_VALUE"""),10080230)</f>
        <v>10080230</v>
      </c>
      <c r="G1529" s="77" t="str">
        <f t="shared" ca="1" si="5"/>
        <v>si</v>
      </c>
    </row>
    <row r="1530" spans="1:7" ht="12.75" x14ac:dyDescent="0.2">
      <c r="A1530" s="62">
        <f ca="1">IFERROR(__xludf.DUMMYFUNCTION("""COMPUTED_VALUE"""),10080231)</f>
        <v>10080231</v>
      </c>
      <c r="B1530" s="62" t="str">
        <f ca="1">IFERROR(__xludf.DUMMYFUNCTION("""COMPUTED_VALUE"""),"Puerto de Carga Huawei P20")</f>
        <v>Puerto de Carga Huawei P20</v>
      </c>
      <c r="C1530" s="75">
        <f ca="1">IFERROR(__xludf.DUMMYFUNCTION("""COMPUTED_VALUE"""),70)</f>
        <v>70</v>
      </c>
      <c r="D1530" s="75">
        <f ca="1">IFERROR(__xludf.DUMMYFUNCTION("""COMPUTED_VALUE"""),50)</f>
        <v>50</v>
      </c>
      <c r="E1530" s="76">
        <f ca="1">IFERROR(__xludf.DUMMYFUNCTION("""COMPUTED_VALUE"""),120)</f>
        <v>120</v>
      </c>
      <c r="F1530" s="77">
        <f ca="1">IFERROR(__xludf.DUMMYFUNCTION("""COMPUTED_VALUE"""),10080231)</f>
        <v>10080231</v>
      </c>
      <c r="G1530" s="77" t="str">
        <f t="shared" ca="1" si="5"/>
        <v>si</v>
      </c>
    </row>
    <row r="1531" spans="1:7" ht="12.75" x14ac:dyDescent="0.2">
      <c r="A1531" s="62">
        <f ca="1">IFERROR(__xludf.DUMMYFUNCTION("""COMPUTED_VALUE"""),10080232)</f>
        <v>10080232</v>
      </c>
      <c r="B1531" s="62" t="str">
        <f ca="1">IFERROR(__xludf.DUMMYFUNCTION("""COMPUTED_VALUE"""),"Puerto de Carga Huawei P20 PRO")</f>
        <v>Puerto de Carga Huawei P20 PRO</v>
      </c>
      <c r="C1531" s="75">
        <f ca="1">IFERROR(__xludf.DUMMYFUNCTION("""COMPUTED_VALUE"""),80)</f>
        <v>80</v>
      </c>
      <c r="D1531" s="75">
        <f ca="1">IFERROR(__xludf.DUMMYFUNCTION("""COMPUTED_VALUE"""),50)</f>
        <v>50</v>
      </c>
      <c r="E1531" s="76">
        <f ca="1">IFERROR(__xludf.DUMMYFUNCTION("""COMPUTED_VALUE"""),130)</f>
        <v>130</v>
      </c>
      <c r="F1531" s="77">
        <f ca="1">IFERROR(__xludf.DUMMYFUNCTION("""COMPUTED_VALUE"""),10080232)</f>
        <v>10080232</v>
      </c>
      <c r="G1531" s="77" t="str">
        <f t="shared" ca="1" si="5"/>
        <v>si</v>
      </c>
    </row>
    <row r="1532" spans="1:7" ht="12.75" x14ac:dyDescent="0.2">
      <c r="A1532" s="62">
        <f ca="1">IFERROR(__xludf.DUMMYFUNCTION("""COMPUTED_VALUE"""),10160045)</f>
        <v>10160045</v>
      </c>
      <c r="B1532" s="62" t="str">
        <f ca="1">IFERROR(__xludf.DUMMYFUNCTION("""COMPUTED_VALUE"""),"Puerto de Carga Huawei P20 Lite")</f>
        <v>Puerto de Carga Huawei P20 Lite</v>
      </c>
      <c r="C1532" s="75">
        <f ca="1">IFERROR(__xludf.DUMMYFUNCTION("""COMPUTED_VALUE"""),80)</f>
        <v>80</v>
      </c>
      <c r="D1532" s="75">
        <f ca="1">IFERROR(__xludf.DUMMYFUNCTION("""COMPUTED_VALUE"""),50)</f>
        <v>50</v>
      </c>
      <c r="E1532" s="76">
        <f ca="1">IFERROR(__xludf.DUMMYFUNCTION("""COMPUTED_VALUE"""),130)</f>
        <v>130</v>
      </c>
      <c r="F1532" s="77">
        <f ca="1">IFERROR(__xludf.DUMMYFUNCTION("""COMPUTED_VALUE"""),10160045)</f>
        <v>10160045</v>
      </c>
      <c r="G1532" s="77" t="str">
        <f t="shared" ref="G1532:G1786" ca="1" si="6">IF(F1532=A1532,"si","no")</f>
        <v>si</v>
      </c>
    </row>
    <row r="1533" spans="1:7" ht="12.75" x14ac:dyDescent="0.2">
      <c r="A1533" s="62">
        <f ca="1">IFERROR(__xludf.DUMMYFUNCTION("""COMPUTED_VALUE"""),10160046)</f>
        <v>10160046</v>
      </c>
      <c r="B1533" s="62" t="str">
        <f ca="1">IFERROR(__xludf.DUMMYFUNCTION("""COMPUTED_VALUE"""),"Puerto de Carga Huawei P30 lite")</f>
        <v>Puerto de Carga Huawei P30 lite</v>
      </c>
      <c r="C1533" s="75">
        <f ca="1">IFERROR(__xludf.DUMMYFUNCTION("""COMPUTED_VALUE"""),80)</f>
        <v>80</v>
      </c>
      <c r="D1533" s="75">
        <f ca="1">IFERROR(__xludf.DUMMYFUNCTION("""COMPUTED_VALUE"""),50)</f>
        <v>50</v>
      </c>
      <c r="E1533" s="76">
        <f ca="1">IFERROR(__xludf.DUMMYFUNCTION("""COMPUTED_VALUE"""),130)</f>
        <v>130</v>
      </c>
      <c r="F1533" s="77">
        <f ca="1">IFERROR(__xludf.DUMMYFUNCTION("""COMPUTED_VALUE"""),10160046)</f>
        <v>10160046</v>
      </c>
      <c r="G1533" s="77" t="str">
        <f t="shared" ca="1" si="6"/>
        <v>si</v>
      </c>
    </row>
    <row r="1534" spans="1:7" ht="12.75" x14ac:dyDescent="0.2">
      <c r="A1534" s="62">
        <f ca="1">IFERROR(__xludf.DUMMYFUNCTION("""COMPUTED_VALUE"""),10080234)</f>
        <v>10080234</v>
      </c>
      <c r="B1534" s="62" t="str">
        <f ca="1">IFERROR(__xludf.DUMMYFUNCTION("""COMPUTED_VALUE"""),"Puerto de Carga Huawei P30")</f>
        <v>Puerto de Carga Huawei P30</v>
      </c>
      <c r="C1534" s="75">
        <f ca="1">IFERROR(__xludf.DUMMYFUNCTION("""COMPUTED_VALUE"""),80)</f>
        <v>80</v>
      </c>
      <c r="D1534" s="75">
        <f ca="1">IFERROR(__xludf.DUMMYFUNCTION("""COMPUTED_VALUE"""),50)</f>
        <v>50</v>
      </c>
      <c r="E1534" s="76">
        <f ca="1">IFERROR(__xludf.DUMMYFUNCTION("""COMPUTED_VALUE"""),130)</f>
        <v>130</v>
      </c>
      <c r="F1534" s="77">
        <f ca="1">IFERROR(__xludf.DUMMYFUNCTION("""COMPUTED_VALUE"""),10080234)</f>
        <v>10080234</v>
      </c>
      <c r="G1534" s="77" t="str">
        <f t="shared" ca="1" si="6"/>
        <v>si</v>
      </c>
    </row>
    <row r="1535" spans="1:7" ht="12.75" x14ac:dyDescent="0.2">
      <c r="A1535" s="62">
        <f ca="1">IFERROR(__xludf.DUMMYFUNCTION("""COMPUTED_VALUE"""),10080235)</f>
        <v>10080235</v>
      </c>
      <c r="B1535" s="62" t="str">
        <f ca="1">IFERROR(__xludf.DUMMYFUNCTION("""COMPUTED_VALUE"""),"Puerto de Carga Huawei P30 PRO")</f>
        <v>Puerto de Carga Huawei P30 PRO</v>
      </c>
      <c r="C1535" s="75">
        <f ca="1">IFERROR(__xludf.DUMMYFUNCTION("""COMPUTED_VALUE"""),80)</f>
        <v>80</v>
      </c>
      <c r="D1535" s="75">
        <f ca="1">IFERROR(__xludf.DUMMYFUNCTION("""COMPUTED_VALUE"""),50)</f>
        <v>50</v>
      </c>
      <c r="E1535" s="76">
        <f ca="1">IFERROR(__xludf.DUMMYFUNCTION("""COMPUTED_VALUE"""),130)</f>
        <v>130</v>
      </c>
      <c r="F1535" s="77">
        <f ca="1">IFERROR(__xludf.DUMMYFUNCTION("""COMPUTED_VALUE"""),10080235)</f>
        <v>10080235</v>
      </c>
      <c r="G1535" s="77" t="str">
        <f t="shared" ca="1" si="6"/>
        <v>si</v>
      </c>
    </row>
    <row r="1536" spans="1:7" ht="12.75" x14ac:dyDescent="0.2">
      <c r="A1536" s="62">
        <f ca="1">IFERROR(__xludf.DUMMYFUNCTION("""COMPUTED_VALUE"""),10080236)</f>
        <v>10080236</v>
      </c>
      <c r="B1536" s="62" t="str">
        <f ca="1">IFERROR(__xludf.DUMMYFUNCTION("""COMPUTED_VALUE"""),"Puerto de Carga Huawei p40 lite")</f>
        <v>Puerto de Carga Huawei p40 lite</v>
      </c>
      <c r="C1536" s="75">
        <f ca="1">IFERROR(__xludf.DUMMYFUNCTION("""COMPUTED_VALUE"""),80)</f>
        <v>80</v>
      </c>
      <c r="D1536" s="75">
        <f ca="1">IFERROR(__xludf.DUMMYFUNCTION("""COMPUTED_VALUE"""),50)</f>
        <v>50</v>
      </c>
      <c r="E1536" s="76">
        <f ca="1">IFERROR(__xludf.DUMMYFUNCTION("""COMPUTED_VALUE"""),130)</f>
        <v>130</v>
      </c>
      <c r="F1536" s="77">
        <f ca="1">IFERROR(__xludf.DUMMYFUNCTION("""COMPUTED_VALUE"""),10080236)</f>
        <v>10080236</v>
      </c>
      <c r="G1536" s="77" t="str">
        <f t="shared" ca="1" si="6"/>
        <v>si</v>
      </c>
    </row>
    <row r="1537" spans="1:7" ht="12.75" x14ac:dyDescent="0.2">
      <c r="A1537" s="62">
        <f ca="1">IFERROR(__xludf.DUMMYFUNCTION("""COMPUTED_VALUE"""),10080224)</f>
        <v>10080224</v>
      </c>
      <c r="B1537" s="62" t="str">
        <f ca="1">IFERROR(__xludf.DUMMYFUNCTION("""COMPUTED_VALUE"""),"Puerto de Carga Huawei P9")</f>
        <v>Puerto de Carga Huawei P9</v>
      </c>
      <c r="C1537" s="75">
        <f ca="1">IFERROR(__xludf.DUMMYFUNCTION("""COMPUTED_VALUE"""),50)</f>
        <v>50</v>
      </c>
      <c r="D1537" s="75">
        <f ca="1">IFERROR(__xludf.DUMMYFUNCTION("""COMPUTED_VALUE"""),50)</f>
        <v>50</v>
      </c>
      <c r="E1537" s="76">
        <f ca="1">IFERROR(__xludf.DUMMYFUNCTION("""COMPUTED_VALUE"""),100)</f>
        <v>100</v>
      </c>
      <c r="F1537" s="77">
        <f ca="1">IFERROR(__xludf.DUMMYFUNCTION("""COMPUTED_VALUE"""),10080224)</f>
        <v>10080224</v>
      </c>
      <c r="G1537" s="77" t="str">
        <f t="shared" ca="1" si="6"/>
        <v>si</v>
      </c>
    </row>
    <row r="1538" spans="1:7" ht="12.75" x14ac:dyDescent="0.2">
      <c r="A1538" s="62">
        <f ca="1">IFERROR(__xludf.DUMMYFUNCTION("""COMPUTED_VALUE"""),10080225)</f>
        <v>10080225</v>
      </c>
      <c r="B1538" s="62" t="str">
        <f ca="1">IFERROR(__xludf.DUMMYFUNCTION("""COMPUTED_VALUE"""),"Puerto de Carga Huawei P9 LITE")</f>
        <v>Puerto de Carga Huawei P9 LITE</v>
      </c>
      <c r="C1538" s="75">
        <f ca="1">IFERROR(__xludf.DUMMYFUNCTION("""COMPUTED_VALUE"""),50)</f>
        <v>50</v>
      </c>
      <c r="D1538" s="75">
        <f ca="1">IFERROR(__xludf.DUMMYFUNCTION("""COMPUTED_VALUE"""),50)</f>
        <v>50</v>
      </c>
      <c r="E1538" s="76">
        <f ca="1">IFERROR(__xludf.DUMMYFUNCTION("""COMPUTED_VALUE"""),100)</f>
        <v>100</v>
      </c>
      <c r="F1538" s="77">
        <f ca="1">IFERROR(__xludf.DUMMYFUNCTION("""COMPUTED_VALUE"""),10080225)</f>
        <v>10080225</v>
      </c>
      <c r="G1538" s="77" t="str">
        <f t="shared" ca="1" si="6"/>
        <v>si</v>
      </c>
    </row>
    <row r="1539" spans="1:7" ht="12.75" x14ac:dyDescent="0.2">
      <c r="A1539" s="62">
        <f ca="1">IFERROR(__xludf.DUMMYFUNCTION("""COMPUTED_VALUE"""),10080226)</f>
        <v>10080226</v>
      </c>
      <c r="B1539" s="62" t="str">
        <f ca="1">IFERROR(__xludf.DUMMYFUNCTION("""COMPUTED_VALUE"""),"Puerto de Carga Huawei P9 LITE 2017")</f>
        <v>Puerto de Carga Huawei P9 LITE 2017</v>
      </c>
      <c r="C1539" s="75">
        <f ca="1">IFERROR(__xludf.DUMMYFUNCTION("""COMPUTED_VALUE"""),50)</f>
        <v>50</v>
      </c>
      <c r="D1539" s="75">
        <f ca="1">IFERROR(__xludf.DUMMYFUNCTION("""COMPUTED_VALUE"""),50)</f>
        <v>50</v>
      </c>
      <c r="E1539" s="76">
        <f ca="1">IFERROR(__xludf.DUMMYFUNCTION("""COMPUTED_VALUE"""),100)</f>
        <v>100</v>
      </c>
      <c r="F1539" s="77">
        <f ca="1">IFERROR(__xludf.DUMMYFUNCTION("""COMPUTED_VALUE"""),10080226)</f>
        <v>10080226</v>
      </c>
      <c r="G1539" s="77" t="str">
        <f t="shared" ca="1" si="6"/>
        <v>si</v>
      </c>
    </row>
    <row r="1540" spans="1:7" ht="12.75" x14ac:dyDescent="0.2">
      <c r="A1540" s="62">
        <f ca="1">IFERROR(__xludf.DUMMYFUNCTION("""COMPUTED_VALUE"""),10080227)</f>
        <v>10080227</v>
      </c>
      <c r="B1540" s="62" t="str">
        <f ca="1">IFERROR(__xludf.DUMMYFUNCTION("""COMPUTED_VALUE"""),"Puerto de Carga Huawei P9 LITE SMART")</f>
        <v>Puerto de Carga Huawei P9 LITE SMART</v>
      </c>
      <c r="C1540" s="75">
        <f ca="1">IFERROR(__xludf.DUMMYFUNCTION("""COMPUTED_VALUE"""),50)</f>
        <v>50</v>
      </c>
      <c r="D1540" s="75">
        <f ca="1">IFERROR(__xludf.DUMMYFUNCTION("""COMPUTED_VALUE"""),50)</f>
        <v>50</v>
      </c>
      <c r="E1540" s="76">
        <f ca="1">IFERROR(__xludf.DUMMYFUNCTION("""COMPUTED_VALUE"""),100)</f>
        <v>100</v>
      </c>
      <c r="F1540" s="77">
        <f ca="1">IFERROR(__xludf.DUMMYFUNCTION("""COMPUTED_VALUE"""),10080227)</f>
        <v>10080227</v>
      </c>
      <c r="G1540" s="77" t="str">
        <f t="shared" ca="1" si="6"/>
        <v>si</v>
      </c>
    </row>
    <row r="1541" spans="1:7" ht="12.75" x14ac:dyDescent="0.2">
      <c r="A1541" s="62">
        <f ca="1">IFERROR(__xludf.DUMMYFUNCTION("""COMPUTED_VALUE"""),10160044)</f>
        <v>10160044</v>
      </c>
      <c r="B1541" s="62" t="str">
        <f ca="1">IFERROR(__xludf.DUMMYFUNCTION("""COMPUTED_VALUE"""),"Puerto de Carga Huawei P SMART")</f>
        <v>Puerto de Carga Huawei P SMART</v>
      </c>
      <c r="C1541" s="75">
        <f ca="1">IFERROR(__xludf.DUMMYFUNCTION("""COMPUTED_VALUE"""),50)</f>
        <v>50</v>
      </c>
      <c r="D1541" s="75">
        <f ca="1">IFERROR(__xludf.DUMMYFUNCTION("""COMPUTED_VALUE"""),50)</f>
        <v>50</v>
      </c>
      <c r="E1541" s="76">
        <f ca="1">IFERROR(__xludf.DUMMYFUNCTION("""COMPUTED_VALUE"""),100)</f>
        <v>100</v>
      </c>
      <c r="F1541" s="77">
        <f ca="1">IFERROR(__xludf.DUMMYFUNCTION("""COMPUTED_VALUE"""),10160044)</f>
        <v>10160044</v>
      </c>
      <c r="G1541" s="77" t="str">
        <f t="shared" ca="1" si="6"/>
        <v>si</v>
      </c>
    </row>
    <row r="1542" spans="1:7" ht="12.75" x14ac:dyDescent="0.2">
      <c r="A1542" s="62">
        <f ca="1">IFERROR(__xludf.DUMMYFUNCTION("""COMPUTED_VALUE"""),10160043)</f>
        <v>10160043</v>
      </c>
      <c r="B1542" s="62" t="str">
        <f ca="1">IFERROR(__xludf.DUMMYFUNCTION("""COMPUTED_VALUE"""),"Puerto de Carga Huawei P SMART 2019")</f>
        <v>Puerto de Carga Huawei P SMART 2019</v>
      </c>
      <c r="C1542" s="75">
        <f ca="1">IFERROR(__xludf.DUMMYFUNCTION("""COMPUTED_VALUE"""),80)</f>
        <v>80</v>
      </c>
      <c r="D1542" s="75">
        <f ca="1">IFERROR(__xludf.DUMMYFUNCTION("""COMPUTED_VALUE"""),50)</f>
        <v>50</v>
      </c>
      <c r="E1542" s="76">
        <f ca="1">IFERROR(__xludf.DUMMYFUNCTION("""COMPUTED_VALUE"""),130)</f>
        <v>130</v>
      </c>
      <c r="F1542" s="77">
        <f ca="1">IFERROR(__xludf.DUMMYFUNCTION("""COMPUTED_VALUE"""),10160043)</f>
        <v>10160043</v>
      </c>
      <c r="G1542" s="77" t="str">
        <f t="shared" ca="1" si="6"/>
        <v>si</v>
      </c>
    </row>
    <row r="1543" spans="1:7" ht="12.75" x14ac:dyDescent="0.2">
      <c r="A1543" s="62">
        <f ca="1">IFERROR(__xludf.DUMMYFUNCTION("""COMPUTED_VALUE"""),10080247)</f>
        <v>10080247</v>
      </c>
      <c r="B1543" s="62" t="str">
        <f ca="1">IFERROR(__xludf.DUMMYFUNCTION("""COMPUTED_VALUE"""),"Puerto de Carga Huawei y5 2017/y6 2017 /y5-2 2017/y5 pro/y5-3")</f>
        <v>Puerto de Carga Huawei y5 2017/y6 2017 /y5-2 2017/y5 pro/y5-3</v>
      </c>
      <c r="C1543" s="75">
        <f ca="1">IFERROR(__xludf.DUMMYFUNCTION("""COMPUTED_VALUE"""),50)</f>
        <v>50</v>
      </c>
      <c r="D1543" s="75">
        <f ca="1">IFERROR(__xludf.DUMMYFUNCTION("""COMPUTED_VALUE"""),50)</f>
        <v>50</v>
      </c>
      <c r="E1543" s="76">
        <f ca="1">IFERROR(__xludf.DUMMYFUNCTION("""COMPUTED_VALUE"""),100)</f>
        <v>100</v>
      </c>
      <c r="F1543" s="77">
        <f ca="1">IFERROR(__xludf.DUMMYFUNCTION("""COMPUTED_VALUE"""),10080247)</f>
        <v>10080247</v>
      </c>
      <c r="G1543" s="77" t="str">
        <f t="shared" ca="1" si="6"/>
        <v>si</v>
      </c>
    </row>
    <row r="1544" spans="1:7" ht="12.75" x14ac:dyDescent="0.2">
      <c r="A1544" s="62">
        <f ca="1">IFERROR(__xludf.DUMMYFUNCTION("""COMPUTED_VALUE"""),10080248)</f>
        <v>10080248</v>
      </c>
      <c r="B1544" s="62" t="str">
        <f ca="1">IFERROR(__xludf.DUMMYFUNCTION("""COMPUTED_VALUE"""),"Puerto de Carga Huawei y5 2018/y5 prime 2018")</f>
        <v>Puerto de Carga Huawei y5 2018/y5 prime 2018</v>
      </c>
      <c r="C1544" s="75">
        <f ca="1">IFERROR(__xludf.DUMMYFUNCTION("""COMPUTED_VALUE"""),50)</f>
        <v>50</v>
      </c>
      <c r="D1544" s="75">
        <f ca="1">IFERROR(__xludf.DUMMYFUNCTION("""COMPUTED_VALUE"""),50)</f>
        <v>50</v>
      </c>
      <c r="E1544" s="76">
        <f ca="1">IFERROR(__xludf.DUMMYFUNCTION("""COMPUTED_VALUE"""),100)</f>
        <v>100</v>
      </c>
      <c r="F1544" s="77">
        <f ca="1">IFERROR(__xludf.DUMMYFUNCTION("""COMPUTED_VALUE"""),10080248)</f>
        <v>10080248</v>
      </c>
      <c r="G1544" s="77" t="str">
        <f t="shared" ca="1" si="6"/>
        <v>si</v>
      </c>
    </row>
    <row r="1545" spans="1:7" ht="12.75" x14ac:dyDescent="0.2">
      <c r="A1545" s="62">
        <f ca="1">IFERROR(__xludf.DUMMYFUNCTION("""COMPUTED_VALUE"""),10080124)</f>
        <v>10080124</v>
      </c>
      <c r="B1545" s="62" t="str">
        <f ca="1">IFERROR(__xludf.DUMMYFUNCTION("""COMPUTED_VALUE"""),"Puerto de Carga Huawei Y5 2019 ")</f>
        <v xml:space="preserve">Puerto de Carga Huawei Y5 2019 </v>
      </c>
      <c r="C1545" s="75">
        <f ca="1">IFERROR(__xludf.DUMMYFUNCTION("""COMPUTED_VALUE"""),55)</f>
        <v>55</v>
      </c>
      <c r="D1545" s="75">
        <f ca="1">IFERROR(__xludf.DUMMYFUNCTION("""COMPUTED_VALUE"""),50)</f>
        <v>50</v>
      </c>
      <c r="E1545" s="76">
        <f ca="1">IFERROR(__xludf.DUMMYFUNCTION("""COMPUTED_VALUE"""),105)</f>
        <v>105</v>
      </c>
      <c r="F1545" s="77">
        <f ca="1">IFERROR(__xludf.DUMMYFUNCTION("""COMPUTED_VALUE"""),10080124)</f>
        <v>10080124</v>
      </c>
      <c r="G1545" s="77" t="str">
        <f t="shared" ca="1" si="6"/>
        <v>si</v>
      </c>
    </row>
    <row r="1546" spans="1:7" ht="12.75" x14ac:dyDescent="0.2">
      <c r="A1546" s="62">
        <f ca="1">IFERROR(__xludf.DUMMYFUNCTION("""COMPUTED_VALUE"""),10080246)</f>
        <v>10080246</v>
      </c>
      <c r="B1546" s="62" t="str">
        <f ca="1">IFERROR(__xludf.DUMMYFUNCTION("""COMPUTED_VALUE"""),"Puerto de Carga Huawei y5 II")</f>
        <v>Puerto de Carga Huawei y5 II</v>
      </c>
      <c r="C1546" s="75">
        <f ca="1">IFERROR(__xludf.DUMMYFUNCTION("""COMPUTED_VALUE"""),50)</f>
        <v>50</v>
      </c>
      <c r="D1546" s="75">
        <f ca="1">IFERROR(__xludf.DUMMYFUNCTION("""COMPUTED_VALUE"""),50)</f>
        <v>50</v>
      </c>
      <c r="E1546" s="76">
        <f ca="1">IFERROR(__xludf.DUMMYFUNCTION("""COMPUTED_VALUE"""),100)</f>
        <v>100</v>
      </c>
      <c r="F1546" s="77">
        <f ca="1">IFERROR(__xludf.DUMMYFUNCTION("""COMPUTED_VALUE"""),10080246)</f>
        <v>10080246</v>
      </c>
      <c r="G1546" s="77" t="str">
        <f t="shared" ca="1" si="6"/>
        <v>si</v>
      </c>
    </row>
    <row r="1547" spans="1:7" ht="12.75" x14ac:dyDescent="0.2">
      <c r="A1547" s="62">
        <f ca="1">IFERROR(__xludf.DUMMYFUNCTION("""COMPUTED_VALUE"""),10080097)</f>
        <v>10080097</v>
      </c>
      <c r="B1547" s="62" t="str">
        <f ca="1">IFERROR(__xludf.DUMMYFUNCTION("""COMPUTED_VALUE"""),"Puerto de Carga Huawei Y6 2018 Original")</f>
        <v>Puerto de Carga Huawei Y6 2018 Original</v>
      </c>
      <c r="C1547" s="75">
        <f ca="1">IFERROR(__xludf.DUMMYFUNCTION("""COMPUTED_VALUE"""),65)</f>
        <v>65</v>
      </c>
      <c r="D1547" s="75">
        <f ca="1">IFERROR(__xludf.DUMMYFUNCTION("""COMPUTED_VALUE"""),50)</f>
        <v>50</v>
      </c>
      <c r="E1547" s="76">
        <f ca="1">IFERROR(__xludf.DUMMYFUNCTION("""COMPUTED_VALUE"""),115)</f>
        <v>115</v>
      </c>
      <c r="F1547" s="77">
        <f ca="1">IFERROR(__xludf.DUMMYFUNCTION("""COMPUTED_VALUE"""),10080097)</f>
        <v>10080097</v>
      </c>
      <c r="G1547" s="77" t="str">
        <f t="shared" ca="1" si="6"/>
        <v>si</v>
      </c>
    </row>
    <row r="1548" spans="1:7" ht="12.75" x14ac:dyDescent="0.2">
      <c r="A1548" s="62">
        <f ca="1">IFERROR(__xludf.DUMMYFUNCTION("""COMPUTED_VALUE"""),10080098)</f>
        <v>10080098</v>
      </c>
      <c r="B1548" s="62" t="str">
        <f ca="1">IFERROR(__xludf.DUMMYFUNCTION("""COMPUTED_VALUE"""),"Puerto de Carga Huawei Y6 2019 Original")</f>
        <v>Puerto de Carga Huawei Y6 2019 Original</v>
      </c>
      <c r="C1548" s="75">
        <f ca="1">IFERROR(__xludf.DUMMYFUNCTION("""COMPUTED_VALUE"""),65)</f>
        <v>65</v>
      </c>
      <c r="D1548" s="75">
        <f ca="1">IFERROR(__xludf.DUMMYFUNCTION("""COMPUTED_VALUE"""),50)</f>
        <v>50</v>
      </c>
      <c r="E1548" s="76">
        <f ca="1">IFERROR(__xludf.DUMMYFUNCTION("""COMPUTED_VALUE"""),115)</f>
        <v>115</v>
      </c>
      <c r="F1548" s="77">
        <f ca="1">IFERROR(__xludf.DUMMYFUNCTION("""COMPUTED_VALUE"""),10080098)</f>
        <v>10080098</v>
      </c>
      <c r="G1548" s="77" t="str">
        <f t="shared" ca="1" si="6"/>
        <v>si</v>
      </c>
    </row>
    <row r="1549" spans="1:7" ht="12.75" x14ac:dyDescent="0.2">
      <c r="A1549" s="62">
        <f ca="1">IFERROR(__xludf.DUMMYFUNCTION("""COMPUTED_VALUE"""),10080249)</f>
        <v>10080249</v>
      </c>
      <c r="B1549" s="62" t="str">
        <f ca="1">IFERROR(__xludf.DUMMYFUNCTION("""COMPUTED_VALUE"""),"Puerto de Carga Huawei y6 II")</f>
        <v>Puerto de Carga Huawei y6 II</v>
      </c>
      <c r="C1549" s="75">
        <f ca="1">IFERROR(__xludf.DUMMYFUNCTION("""COMPUTED_VALUE"""),50)</f>
        <v>50</v>
      </c>
      <c r="D1549" s="75">
        <f ca="1">IFERROR(__xludf.DUMMYFUNCTION("""COMPUTED_VALUE"""),50)</f>
        <v>50</v>
      </c>
      <c r="E1549" s="76">
        <f ca="1">IFERROR(__xludf.DUMMYFUNCTION("""COMPUTED_VALUE"""),100)</f>
        <v>100</v>
      </c>
      <c r="F1549" s="77">
        <f ca="1">IFERROR(__xludf.DUMMYFUNCTION("""COMPUTED_VALUE"""),10080249)</f>
        <v>10080249</v>
      </c>
      <c r="G1549" s="77" t="str">
        <f t="shared" ca="1" si="6"/>
        <v>si</v>
      </c>
    </row>
    <row r="1550" spans="1:7" ht="12.75" x14ac:dyDescent="0.2">
      <c r="A1550" s="62">
        <f ca="1">IFERROR(__xludf.DUMMYFUNCTION("""COMPUTED_VALUE"""),10080127)</f>
        <v>10080127</v>
      </c>
      <c r="B1550" s="62" t="str">
        <f ca="1">IFERROR(__xludf.DUMMYFUNCTION("""COMPUTED_VALUE"""),"Puerto de Carga Huawei Y6P ")</f>
        <v xml:space="preserve">Puerto de Carga Huawei Y6P </v>
      </c>
      <c r="C1550" s="75">
        <f ca="1">IFERROR(__xludf.DUMMYFUNCTION("""COMPUTED_VALUE"""),55)</f>
        <v>55</v>
      </c>
      <c r="D1550" s="75">
        <f ca="1">IFERROR(__xludf.DUMMYFUNCTION("""COMPUTED_VALUE"""),50)</f>
        <v>50</v>
      </c>
      <c r="E1550" s="76">
        <f ca="1">IFERROR(__xludf.DUMMYFUNCTION("""COMPUTED_VALUE"""),105)</f>
        <v>105</v>
      </c>
      <c r="F1550" s="77">
        <f ca="1">IFERROR(__xludf.DUMMYFUNCTION("""COMPUTED_VALUE"""),10080127)</f>
        <v>10080127</v>
      </c>
      <c r="G1550" s="77" t="str">
        <f t="shared" ca="1" si="6"/>
        <v>si</v>
      </c>
    </row>
    <row r="1551" spans="1:7" ht="12.75" x14ac:dyDescent="0.2">
      <c r="A1551" s="62">
        <f ca="1">IFERROR(__xludf.DUMMYFUNCTION("""COMPUTED_VALUE"""),10080126)</f>
        <v>10080126</v>
      </c>
      <c r="B1551" s="62" t="str">
        <f ca="1">IFERROR(__xludf.DUMMYFUNCTION("""COMPUTED_VALUE"""),"Puerto de Carga Huawei Y6S ")</f>
        <v xml:space="preserve">Puerto de Carga Huawei Y6S </v>
      </c>
      <c r="C1551" s="75">
        <f ca="1">IFERROR(__xludf.DUMMYFUNCTION("""COMPUTED_VALUE"""),55)</f>
        <v>55</v>
      </c>
      <c r="D1551" s="75">
        <f ca="1">IFERROR(__xludf.DUMMYFUNCTION("""COMPUTED_VALUE"""),50)</f>
        <v>50</v>
      </c>
      <c r="E1551" s="76">
        <f ca="1">IFERROR(__xludf.DUMMYFUNCTION("""COMPUTED_VALUE"""),105)</f>
        <v>105</v>
      </c>
      <c r="F1551" s="77">
        <f ca="1">IFERROR(__xludf.DUMMYFUNCTION("""COMPUTED_VALUE"""),10080126)</f>
        <v>10080126</v>
      </c>
      <c r="G1551" s="77" t="str">
        <f t="shared" ca="1" si="6"/>
        <v>si</v>
      </c>
    </row>
    <row r="1552" spans="1:7" ht="12.75" x14ac:dyDescent="0.2">
      <c r="A1552" s="62">
        <f ca="1">IFERROR(__xludf.DUMMYFUNCTION("""COMPUTED_VALUE"""),10080096)</f>
        <v>10080096</v>
      </c>
      <c r="B1552" s="62" t="str">
        <f ca="1">IFERROR(__xludf.DUMMYFUNCTION("""COMPUTED_VALUE"""),"Puerto de Carga Huawei Y7 2017 Original")</f>
        <v>Puerto de Carga Huawei Y7 2017 Original</v>
      </c>
      <c r="C1552" s="75">
        <f ca="1">IFERROR(__xludf.DUMMYFUNCTION("""COMPUTED_VALUE"""),65)</f>
        <v>65</v>
      </c>
      <c r="D1552" s="75">
        <f ca="1">IFERROR(__xludf.DUMMYFUNCTION("""COMPUTED_VALUE"""),50)</f>
        <v>50</v>
      </c>
      <c r="E1552" s="76">
        <f ca="1">IFERROR(__xludf.DUMMYFUNCTION("""COMPUTED_VALUE"""),115)</f>
        <v>115</v>
      </c>
      <c r="F1552" s="77">
        <f ca="1">IFERROR(__xludf.DUMMYFUNCTION("""COMPUTED_VALUE"""),10080096)</f>
        <v>10080096</v>
      </c>
      <c r="G1552" s="77" t="str">
        <f t="shared" ca="1" si="6"/>
        <v>si</v>
      </c>
    </row>
    <row r="1553" spans="1:7" ht="12.75" x14ac:dyDescent="0.2">
      <c r="A1553" s="62">
        <f ca="1">IFERROR(__xludf.DUMMYFUNCTION("""COMPUTED_VALUE"""),10080250)</f>
        <v>10080250</v>
      </c>
      <c r="B1553" s="62" t="str">
        <f ca="1">IFERROR(__xludf.DUMMYFUNCTION("""COMPUTED_VALUE"""),"Puerto de Carga Huawei y7 Y")</f>
        <v>Puerto de Carga Huawei y7 Y</v>
      </c>
      <c r="C1553" s="75">
        <f ca="1">IFERROR(__xludf.DUMMYFUNCTION("""COMPUTED_VALUE"""),50)</f>
        <v>50</v>
      </c>
      <c r="D1553" s="75">
        <f ca="1">IFERROR(__xludf.DUMMYFUNCTION("""COMPUTED_VALUE"""),50)</f>
        <v>50</v>
      </c>
      <c r="E1553" s="76">
        <f ca="1">IFERROR(__xludf.DUMMYFUNCTION("""COMPUTED_VALUE"""),100)</f>
        <v>100</v>
      </c>
      <c r="F1553" s="77">
        <f ca="1">IFERROR(__xludf.DUMMYFUNCTION("""COMPUTED_VALUE"""),10080250)</f>
        <v>10080250</v>
      </c>
      <c r="G1553" s="77" t="str">
        <f t="shared" ca="1" si="6"/>
        <v>si</v>
      </c>
    </row>
    <row r="1554" spans="1:7" ht="12.75" x14ac:dyDescent="0.2">
      <c r="A1554" s="62">
        <f ca="1">IFERROR(__xludf.DUMMYFUNCTION("""COMPUTED_VALUE"""),10080125)</f>
        <v>10080125</v>
      </c>
      <c r="B1554" s="62" t="str">
        <f ca="1">IFERROR(__xludf.DUMMYFUNCTION("""COMPUTED_VALUE"""),"Puerto de Carga Huawei Y7P ")</f>
        <v xml:space="preserve">Puerto de Carga Huawei Y7P </v>
      </c>
      <c r="C1554" s="75">
        <f ca="1">IFERROR(__xludf.DUMMYFUNCTION("""COMPUTED_VALUE"""),55)</f>
        <v>55</v>
      </c>
      <c r="D1554" s="75">
        <f ca="1">IFERROR(__xludf.DUMMYFUNCTION("""COMPUTED_VALUE"""),50)</f>
        <v>50</v>
      </c>
      <c r="E1554" s="76">
        <f ca="1">IFERROR(__xludf.DUMMYFUNCTION("""COMPUTED_VALUE"""),105)</f>
        <v>105</v>
      </c>
      <c r="F1554" s="77">
        <f ca="1">IFERROR(__xludf.DUMMYFUNCTION("""COMPUTED_VALUE"""),10080125)</f>
        <v>10080125</v>
      </c>
      <c r="G1554" s="77" t="str">
        <f t="shared" ca="1" si="6"/>
        <v>si</v>
      </c>
    </row>
    <row r="1555" spans="1:7" ht="12.75" x14ac:dyDescent="0.2">
      <c r="A1555" s="62">
        <f ca="1">IFERROR(__xludf.DUMMYFUNCTION("""COMPUTED_VALUE"""),10080123)</f>
        <v>10080123</v>
      </c>
      <c r="B1555" s="62" t="str">
        <f ca="1">IFERROR(__xludf.DUMMYFUNCTION("""COMPUTED_VALUE"""),"Puerto de Carga Huawei Y8P ")</f>
        <v xml:space="preserve">Puerto de Carga Huawei Y8P </v>
      </c>
      <c r="C1555" s="75">
        <f ca="1">IFERROR(__xludf.DUMMYFUNCTION("""COMPUTED_VALUE"""),55)</f>
        <v>55</v>
      </c>
      <c r="D1555" s="75">
        <f ca="1">IFERROR(__xludf.DUMMYFUNCTION("""COMPUTED_VALUE"""),50)</f>
        <v>50</v>
      </c>
      <c r="E1555" s="76">
        <f ca="1">IFERROR(__xludf.DUMMYFUNCTION("""COMPUTED_VALUE"""),105)</f>
        <v>105</v>
      </c>
      <c r="F1555" s="77">
        <f ca="1">IFERROR(__xludf.DUMMYFUNCTION("""COMPUTED_VALUE"""),10080123)</f>
        <v>10080123</v>
      </c>
      <c r="G1555" s="77" t="str">
        <f t="shared" ca="1" si="6"/>
        <v>si</v>
      </c>
    </row>
    <row r="1556" spans="1:7" ht="12.75" x14ac:dyDescent="0.2">
      <c r="A1556" s="62">
        <f ca="1">IFERROR(__xludf.DUMMYFUNCTION("""COMPUTED_VALUE"""),10080122)</f>
        <v>10080122</v>
      </c>
      <c r="B1556" s="62" t="str">
        <f ca="1">IFERROR(__xludf.DUMMYFUNCTION("""COMPUTED_VALUE"""),"Puerto de Carga Huawei Y8S ")</f>
        <v xml:space="preserve">Puerto de Carga Huawei Y8S </v>
      </c>
      <c r="C1556" s="75">
        <f ca="1">IFERROR(__xludf.DUMMYFUNCTION("""COMPUTED_VALUE"""),55)</f>
        <v>55</v>
      </c>
      <c r="D1556" s="75">
        <f ca="1">IFERROR(__xludf.DUMMYFUNCTION("""COMPUTED_VALUE"""),50)</f>
        <v>50</v>
      </c>
      <c r="E1556" s="76">
        <f ca="1">IFERROR(__xludf.DUMMYFUNCTION("""COMPUTED_VALUE"""),105)</f>
        <v>105</v>
      </c>
      <c r="F1556" s="77">
        <f ca="1">IFERROR(__xludf.DUMMYFUNCTION("""COMPUTED_VALUE"""),10080122)</f>
        <v>10080122</v>
      </c>
      <c r="G1556" s="77" t="str">
        <f t="shared" ca="1" si="6"/>
        <v>si</v>
      </c>
    </row>
    <row r="1557" spans="1:7" ht="12.75" x14ac:dyDescent="0.2">
      <c r="A1557" s="62">
        <f ca="1">IFERROR(__xludf.DUMMYFUNCTION("""COMPUTED_VALUE"""),10080099)</f>
        <v>10080099</v>
      </c>
      <c r="B1557" s="62" t="str">
        <f ca="1">IFERROR(__xludf.DUMMYFUNCTION("""COMPUTED_VALUE"""),"Puerto de Carga Huawei Y9 2019 Original")</f>
        <v>Puerto de Carga Huawei Y9 2019 Original</v>
      </c>
      <c r="C1557" s="75">
        <f ca="1">IFERROR(__xludf.DUMMYFUNCTION("""COMPUTED_VALUE"""),65)</f>
        <v>65</v>
      </c>
      <c r="D1557" s="75">
        <f ca="1">IFERROR(__xludf.DUMMYFUNCTION("""COMPUTED_VALUE"""),50)</f>
        <v>50</v>
      </c>
      <c r="E1557" s="76">
        <f ca="1">IFERROR(__xludf.DUMMYFUNCTION("""COMPUTED_VALUE"""),115)</f>
        <v>115</v>
      </c>
      <c r="F1557" s="77">
        <f ca="1">IFERROR(__xludf.DUMMYFUNCTION("""COMPUTED_VALUE"""),10080099)</f>
        <v>10080099</v>
      </c>
      <c r="G1557" s="77" t="str">
        <f t="shared" ca="1" si="6"/>
        <v>si</v>
      </c>
    </row>
    <row r="1558" spans="1:7" ht="12.75" x14ac:dyDescent="0.2">
      <c r="A1558" s="62">
        <f ca="1">IFERROR(__xludf.DUMMYFUNCTION("""COMPUTED_VALUE"""),10080128)</f>
        <v>10080128</v>
      </c>
      <c r="B1558" s="62" t="str">
        <f ca="1">IFERROR(__xludf.DUMMYFUNCTION("""COMPUTED_VALUE"""),"Puerto de Carga Huawei Y9 2019 Prime ")</f>
        <v xml:space="preserve">Puerto de Carga Huawei Y9 2019 Prime </v>
      </c>
      <c r="C1558" s="75">
        <f ca="1">IFERROR(__xludf.DUMMYFUNCTION("""COMPUTED_VALUE"""),55)</f>
        <v>55</v>
      </c>
      <c r="D1558" s="75">
        <f ca="1">IFERROR(__xludf.DUMMYFUNCTION("""COMPUTED_VALUE"""),50)</f>
        <v>50</v>
      </c>
      <c r="E1558" s="76">
        <f ca="1">IFERROR(__xludf.DUMMYFUNCTION("""COMPUTED_VALUE"""),105)</f>
        <v>105</v>
      </c>
      <c r="F1558" s="77">
        <f ca="1">IFERROR(__xludf.DUMMYFUNCTION("""COMPUTED_VALUE"""),10080128)</f>
        <v>10080128</v>
      </c>
      <c r="G1558" s="77" t="str">
        <f t="shared" ca="1" si="6"/>
        <v>si</v>
      </c>
    </row>
    <row r="1559" spans="1:7" ht="12.75" x14ac:dyDescent="0.2">
      <c r="A1559" s="62">
        <f ca="1">IFERROR(__xludf.DUMMYFUNCTION("""COMPUTED_VALUE"""),10080100)</f>
        <v>10080100</v>
      </c>
      <c r="B1559" s="62" t="str">
        <f ca="1">IFERROR(__xludf.DUMMYFUNCTION("""COMPUTED_VALUE"""),"Puerto de Carga Huawei Y9 Prime 2019 Original")</f>
        <v>Puerto de Carga Huawei Y9 Prime 2019 Original</v>
      </c>
      <c r="C1559" s="75">
        <f ca="1">IFERROR(__xludf.DUMMYFUNCTION("""COMPUTED_VALUE"""),65)</f>
        <v>65</v>
      </c>
      <c r="D1559" s="75">
        <f ca="1">IFERROR(__xludf.DUMMYFUNCTION("""COMPUTED_VALUE"""),50)</f>
        <v>50</v>
      </c>
      <c r="E1559" s="76">
        <f ca="1">IFERROR(__xludf.DUMMYFUNCTION("""COMPUTED_VALUE"""),115)</f>
        <v>115</v>
      </c>
      <c r="F1559" s="77">
        <f ca="1">IFERROR(__xludf.DUMMYFUNCTION("""COMPUTED_VALUE"""),10080100)</f>
        <v>10080100</v>
      </c>
      <c r="G1559" s="77" t="str">
        <f t="shared" ca="1" si="6"/>
        <v>si</v>
      </c>
    </row>
    <row r="1560" spans="1:7" ht="12.75" x14ac:dyDescent="0.2">
      <c r="A1560" s="62">
        <f ca="1">IFERROR(__xludf.DUMMYFUNCTION("""COMPUTED_VALUE"""),10080251)</f>
        <v>10080251</v>
      </c>
      <c r="B1560" s="62" t="str">
        <f ca="1">IFERROR(__xludf.DUMMYFUNCTION("""COMPUTED_VALUE"""),"Puerto de Carga Huawei y9/y9 2018/y9 prime 2018")</f>
        <v>Puerto de Carga Huawei y9/y9 2018/y9 prime 2018</v>
      </c>
      <c r="C1560" s="75">
        <f ca="1">IFERROR(__xludf.DUMMYFUNCTION("""COMPUTED_VALUE"""),70)</f>
        <v>70</v>
      </c>
      <c r="D1560" s="75">
        <f ca="1">IFERROR(__xludf.DUMMYFUNCTION("""COMPUTED_VALUE"""),50)</f>
        <v>50</v>
      </c>
      <c r="E1560" s="76">
        <f ca="1">IFERROR(__xludf.DUMMYFUNCTION("""COMPUTED_VALUE"""),120)</f>
        <v>120</v>
      </c>
      <c r="F1560" s="77">
        <f ca="1">IFERROR(__xludf.DUMMYFUNCTION("""COMPUTED_VALUE"""),10080251)</f>
        <v>10080251</v>
      </c>
      <c r="G1560" s="77" t="str">
        <f t="shared" ca="1" si="6"/>
        <v>si</v>
      </c>
    </row>
    <row r="1561" spans="1:7" ht="12.75" x14ac:dyDescent="0.2">
      <c r="A1561" s="62">
        <f ca="1">IFERROR(__xludf.DUMMYFUNCTION("""COMPUTED_VALUE"""),10080129)</f>
        <v>10080129</v>
      </c>
      <c r="B1561" s="62" t="str">
        <f ca="1">IFERROR(__xludf.DUMMYFUNCTION("""COMPUTED_VALUE"""),"Puerto de Carga Huawei Y9S ")</f>
        <v xml:space="preserve">Puerto de Carga Huawei Y9S </v>
      </c>
      <c r="C1561" s="75">
        <f ca="1">IFERROR(__xludf.DUMMYFUNCTION("""COMPUTED_VALUE"""),55)</f>
        <v>55</v>
      </c>
      <c r="D1561" s="75">
        <f ca="1">IFERROR(__xludf.DUMMYFUNCTION("""COMPUTED_VALUE"""),50)</f>
        <v>50</v>
      </c>
      <c r="E1561" s="76">
        <f ca="1">IFERROR(__xludf.DUMMYFUNCTION("""COMPUTED_VALUE"""),105)</f>
        <v>105</v>
      </c>
      <c r="F1561" s="77">
        <f ca="1">IFERROR(__xludf.DUMMYFUNCTION("""COMPUTED_VALUE"""),10080129)</f>
        <v>10080129</v>
      </c>
      <c r="G1561" s="77" t="str">
        <f t="shared" ca="1" si="6"/>
        <v>si</v>
      </c>
    </row>
    <row r="1562" spans="1:7" ht="12.75" x14ac:dyDescent="0.2">
      <c r="A1562" s="62">
        <f ca="1">IFERROR(__xludf.DUMMYFUNCTION("""COMPUTED_VALUE"""),10080101)</f>
        <v>10080101</v>
      </c>
      <c r="B1562" s="62" t="str">
        <f ca="1">IFERROR(__xludf.DUMMYFUNCTION("""COMPUTED_VALUE"""),"Puerto de Carga Huawei Y9S Original")</f>
        <v>Puerto de Carga Huawei Y9S Original</v>
      </c>
      <c r="C1562" s="75">
        <f ca="1">IFERROR(__xludf.DUMMYFUNCTION("""COMPUTED_VALUE"""),75)</f>
        <v>75</v>
      </c>
      <c r="D1562" s="75">
        <f ca="1">IFERROR(__xludf.DUMMYFUNCTION("""COMPUTED_VALUE"""),50)</f>
        <v>50</v>
      </c>
      <c r="E1562" s="76">
        <f ca="1">IFERROR(__xludf.DUMMYFUNCTION("""COMPUTED_VALUE"""),125)</f>
        <v>125</v>
      </c>
      <c r="F1562" s="77">
        <f ca="1">IFERROR(__xludf.DUMMYFUNCTION("""COMPUTED_VALUE"""),10080101)</f>
        <v>10080101</v>
      </c>
      <c r="G1562" s="77" t="str">
        <f t="shared" ca="1" si="6"/>
        <v>si</v>
      </c>
    </row>
    <row r="1563" spans="1:7" ht="12.75" x14ac:dyDescent="0.2">
      <c r="A1563" s="62">
        <f ca="1">IFERROR(__xludf.DUMMYFUNCTION("""COMPUTED_VALUE"""),10160319)</f>
        <v>10160319</v>
      </c>
      <c r="B1563" s="62" t="str">
        <f ca="1">IFERROR(__xludf.DUMMYFUNCTION("""COMPUTED_VALUE"""),"PUERTO DE CARGA HUAWEI P8 LITE 2017 	")</f>
        <v xml:space="preserve">PUERTO DE CARGA HUAWEI P8 LITE 2017 	</v>
      </c>
      <c r="C1563" s="75">
        <f ca="1">IFERROR(__xludf.DUMMYFUNCTION("""COMPUTED_VALUE"""),60)</f>
        <v>60</v>
      </c>
      <c r="D1563" s="75">
        <f ca="1">IFERROR(__xludf.DUMMYFUNCTION("""COMPUTED_VALUE"""),0)</f>
        <v>0</v>
      </c>
      <c r="E1563" s="76">
        <f ca="1">IFERROR(__xludf.DUMMYFUNCTION("""COMPUTED_VALUE"""),60)</f>
        <v>60</v>
      </c>
      <c r="F1563" s="77">
        <f ca="1">IFERROR(__xludf.DUMMYFUNCTION("""COMPUTED_VALUE"""),10160319)</f>
        <v>10160319</v>
      </c>
      <c r="G1563" s="77" t="str">
        <f t="shared" ca="1" si="6"/>
        <v>si</v>
      </c>
    </row>
    <row r="1564" spans="1:7" ht="12.75" x14ac:dyDescent="0.2">
      <c r="A1564" s="62">
        <f ca="1">IFERROR(__xludf.DUMMYFUNCTION("""COMPUTED_VALUE"""),10080105)</f>
        <v>10080105</v>
      </c>
      <c r="B1564" s="62" t="str">
        <f ca="1">IFERROR(__xludf.DUMMYFUNCTION("""COMPUTED_VALUE"""),"Puerto de Carga Samsung A10")</f>
        <v>Puerto de Carga Samsung A10</v>
      </c>
      <c r="C1564" s="75">
        <f ca="1">IFERROR(__xludf.DUMMYFUNCTION("""COMPUTED_VALUE"""),65)</f>
        <v>65</v>
      </c>
      <c r="D1564" s="75">
        <f ca="1">IFERROR(__xludf.DUMMYFUNCTION("""COMPUTED_VALUE"""),50)</f>
        <v>50</v>
      </c>
      <c r="E1564" s="76">
        <f ca="1">IFERROR(__xludf.DUMMYFUNCTION("""COMPUTED_VALUE"""),115)</f>
        <v>115</v>
      </c>
      <c r="F1564" s="77">
        <f ca="1">IFERROR(__xludf.DUMMYFUNCTION("""COMPUTED_VALUE"""),10080105)</f>
        <v>10080105</v>
      </c>
      <c r="G1564" s="77" t="str">
        <f t="shared" ca="1" si="6"/>
        <v>si</v>
      </c>
    </row>
    <row r="1565" spans="1:7" ht="12.75" x14ac:dyDescent="0.2">
      <c r="A1565" s="62">
        <f ca="1">IFERROR(__xludf.DUMMYFUNCTION("""COMPUTED_VALUE"""),10080106)</f>
        <v>10080106</v>
      </c>
      <c r="B1565" s="62" t="str">
        <f ca="1">IFERROR(__xludf.DUMMYFUNCTION("""COMPUTED_VALUE"""),"Puerto de Carga Samsung A10S")</f>
        <v>Puerto de Carga Samsung A10S</v>
      </c>
      <c r="C1565" s="75">
        <f ca="1">IFERROR(__xludf.DUMMYFUNCTION("""COMPUTED_VALUE"""),65)</f>
        <v>65</v>
      </c>
      <c r="D1565" s="75">
        <f ca="1">IFERROR(__xludf.DUMMYFUNCTION("""COMPUTED_VALUE"""),50)</f>
        <v>50</v>
      </c>
      <c r="E1565" s="76">
        <f ca="1">IFERROR(__xludf.DUMMYFUNCTION("""COMPUTED_VALUE"""),115)</f>
        <v>115</v>
      </c>
      <c r="F1565" s="77">
        <f ca="1">IFERROR(__xludf.DUMMYFUNCTION("""COMPUTED_VALUE"""),10080106)</f>
        <v>10080106</v>
      </c>
      <c r="G1565" s="77" t="str">
        <f t="shared" ca="1" si="6"/>
        <v>si</v>
      </c>
    </row>
    <row r="1566" spans="1:7" ht="12.75" x14ac:dyDescent="0.2">
      <c r="A1566" s="62">
        <f ca="1">IFERROR(__xludf.DUMMYFUNCTION("""COMPUTED_VALUE"""),10080090)</f>
        <v>10080090</v>
      </c>
      <c r="B1566" s="62" t="str">
        <f ca="1">IFERROR(__xludf.DUMMYFUNCTION("""COMPUTED_VALUE"""),"Puerto de Carga Samsung A20 / A205u Original")</f>
        <v>Puerto de Carga Samsung A20 / A205u Original</v>
      </c>
      <c r="C1566" s="75">
        <f ca="1">IFERROR(__xludf.DUMMYFUNCTION("""COMPUTED_VALUE"""),65)</f>
        <v>65</v>
      </c>
      <c r="D1566" s="75">
        <f ca="1">IFERROR(__xludf.DUMMYFUNCTION("""COMPUTED_VALUE"""),50)</f>
        <v>50</v>
      </c>
      <c r="E1566" s="76">
        <f ca="1">IFERROR(__xludf.DUMMYFUNCTION("""COMPUTED_VALUE"""),115)</f>
        <v>115</v>
      </c>
      <c r="F1566" s="77">
        <f ca="1">IFERROR(__xludf.DUMMYFUNCTION("""COMPUTED_VALUE"""),10080090)</f>
        <v>10080090</v>
      </c>
      <c r="G1566" s="77" t="str">
        <f t="shared" ca="1" si="6"/>
        <v>si</v>
      </c>
    </row>
    <row r="1567" spans="1:7" ht="12.75" x14ac:dyDescent="0.2">
      <c r="A1567" s="62">
        <f ca="1">IFERROR(__xludf.DUMMYFUNCTION("""COMPUTED_VALUE"""),10080108)</f>
        <v>10080108</v>
      </c>
      <c r="B1567" s="62" t="str">
        <f ca="1">IFERROR(__xludf.DUMMYFUNCTION("""COMPUTED_VALUE"""),"Puerto de Carga Samsung A20s")</f>
        <v>Puerto de Carga Samsung A20s</v>
      </c>
      <c r="C1567" s="75">
        <f ca="1">IFERROR(__xludf.DUMMYFUNCTION("""COMPUTED_VALUE"""),65)</f>
        <v>65</v>
      </c>
      <c r="D1567" s="75">
        <f ca="1">IFERROR(__xludf.DUMMYFUNCTION("""COMPUTED_VALUE"""),50)</f>
        <v>50</v>
      </c>
      <c r="E1567" s="76">
        <f ca="1">IFERROR(__xludf.DUMMYFUNCTION("""COMPUTED_VALUE"""),115)</f>
        <v>115</v>
      </c>
      <c r="F1567" s="77">
        <f ca="1">IFERROR(__xludf.DUMMYFUNCTION("""COMPUTED_VALUE"""),10080108)</f>
        <v>10080108</v>
      </c>
      <c r="G1567" s="77" t="str">
        <f t="shared" ca="1" si="6"/>
        <v>si</v>
      </c>
    </row>
    <row r="1568" spans="1:7" ht="12.75" x14ac:dyDescent="0.2">
      <c r="A1568" s="62">
        <f ca="1">IFERROR(__xludf.DUMMYFUNCTION("""COMPUTED_VALUE"""),10080242)</f>
        <v>10080242</v>
      </c>
      <c r="B1568" s="62" t="str">
        <f ca="1">IFERROR(__xludf.DUMMYFUNCTION("""COMPUTED_VALUE"""),"Puerto de Carga Samsung A30")</f>
        <v>Puerto de Carga Samsung A30</v>
      </c>
      <c r="C1568" s="75">
        <f ca="1">IFERROR(__xludf.DUMMYFUNCTION("""COMPUTED_VALUE"""),80)</f>
        <v>80</v>
      </c>
      <c r="D1568" s="75">
        <f ca="1">IFERROR(__xludf.DUMMYFUNCTION("""COMPUTED_VALUE"""),50)</f>
        <v>50</v>
      </c>
      <c r="E1568" s="76">
        <f ca="1">IFERROR(__xludf.DUMMYFUNCTION("""COMPUTED_VALUE"""),130)</f>
        <v>130</v>
      </c>
      <c r="F1568" s="77">
        <f ca="1">IFERROR(__xludf.DUMMYFUNCTION("""COMPUTED_VALUE"""),10080242)</f>
        <v>10080242</v>
      </c>
      <c r="G1568" s="77" t="str">
        <f t="shared" ca="1" si="6"/>
        <v>si</v>
      </c>
    </row>
    <row r="1569" spans="1:7" ht="12.75" x14ac:dyDescent="0.2">
      <c r="A1569" s="62">
        <f ca="1">IFERROR(__xludf.DUMMYFUNCTION("""COMPUTED_VALUE"""),10080243)</f>
        <v>10080243</v>
      </c>
      <c r="B1569" s="62" t="str">
        <f ca="1">IFERROR(__xludf.DUMMYFUNCTION("""COMPUTED_VALUE"""),"Puerto de Carga Samsung A30s")</f>
        <v>Puerto de Carga Samsung A30s</v>
      </c>
      <c r="C1569" s="75">
        <f ca="1">IFERROR(__xludf.DUMMYFUNCTION("""COMPUTED_VALUE"""),60)</f>
        <v>60</v>
      </c>
      <c r="D1569" s="75">
        <f ca="1">IFERROR(__xludf.DUMMYFUNCTION("""COMPUTED_VALUE"""),50)</f>
        <v>50</v>
      </c>
      <c r="E1569" s="76">
        <f ca="1">IFERROR(__xludf.DUMMYFUNCTION("""COMPUTED_VALUE"""),110)</f>
        <v>110</v>
      </c>
      <c r="F1569" s="77">
        <f ca="1">IFERROR(__xludf.DUMMYFUNCTION("""COMPUTED_VALUE"""),10080243)</f>
        <v>10080243</v>
      </c>
      <c r="G1569" s="77" t="str">
        <f t="shared" ca="1" si="6"/>
        <v>si</v>
      </c>
    </row>
    <row r="1570" spans="1:7" ht="12.75" x14ac:dyDescent="0.2">
      <c r="A1570" s="62">
        <f ca="1">IFERROR(__xludf.DUMMYFUNCTION("""COMPUTED_VALUE"""),10080216)</f>
        <v>10080216</v>
      </c>
      <c r="B1570" s="62" t="str">
        <f ca="1">IFERROR(__xludf.DUMMYFUNCTION("""COMPUTED_VALUE"""),"Puerto de Carga Samsung a5 2016")</f>
        <v>Puerto de Carga Samsung a5 2016</v>
      </c>
      <c r="C1570" s="75">
        <f ca="1">IFERROR(__xludf.DUMMYFUNCTION("""COMPUTED_VALUE"""),50)</f>
        <v>50</v>
      </c>
      <c r="D1570" s="75">
        <f ca="1">IFERROR(__xludf.DUMMYFUNCTION("""COMPUTED_VALUE"""),50)</f>
        <v>50</v>
      </c>
      <c r="E1570" s="76">
        <f ca="1">IFERROR(__xludf.DUMMYFUNCTION("""COMPUTED_VALUE"""),100)</f>
        <v>100</v>
      </c>
      <c r="F1570" s="77">
        <f ca="1">IFERROR(__xludf.DUMMYFUNCTION("""COMPUTED_VALUE"""),10080216)</f>
        <v>10080216</v>
      </c>
      <c r="G1570" s="77" t="str">
        <f t="shared" ca="1" si="6"/>
        <v>si</v>
      </c>
    </row>
    <row r="1571" spans="1:7" ht="12.75" x14ac:dyDescent="0.2">
      <c r="A1571" s="62">
        <f ca="1">IFERROR(__xludf.DUMMYFUNCTION("""COMPUTED_VALUE"""),10080245)</f>
        <v>10080245</v>
      </c>
      <c r="B1571" s="62" t="str">
        <f ca="1">IFERROR(__xludf.DUMMYFUNCTION("""COMPUTED_VALUE"""),"Puerto de Carga Samsung A50")</f>
        <v>Puerto de Carga Samsung A50</v>
      </c>
      <c r="C1571" s="75">
        <f ca="1">IFERROR(__xludf.DUMMYFUNCTION("""COMPUTED_VALUE"""),80)</f>
        <v>80</v>
      </c>
      <c r="D1571" s="75">
        <f ca="1">IFERROR(__xludf.DUMMYFUNCTION("""COMPUTED_VALUE"""),50)</f>
        <v>50</v>
      </c>
      <c r="E1571" s="76">
        <f ca="1">IFERROR(__xludf.DUMMYFUNCTION("""COMPUTED_VALUE"""),130)</f>
        <v>130</v>
      </c>
      <c r="F1571" s="77">
        <f ca="1">IFERROR(__xludf.DUMMYFUNCTION("""COMPUTED_VALUE"""),10080245)</f>
        <v>10080245</v>
      </c>
      <c r="G1571" s="77" t="str">
        <f t="shared" ca="1" si="6"/>
        <v>si</v>
      </c>
    </row>
    <row r="1572" spans="1:7" ht="12.75" x14ac:dyDescent="0.2">
      <c r="A1572" s="62">
        <f ca="1">IFERROR(__xludf.DUMMYFUNCTION("""COMPUTED_VALUE"""),10080218)</f>
        <v>10080218</v>
      </c>
      <c r="B1572" s="62" t="str">
        <f ca="1">IFERROR(__xludf.DUMMYFUNCTION("""COMPUTED_VALUE"""),"Puerto de Carga Samsung a51")</f>
        <v>Puerto de Carga Samsung a51</v>
      </c>
      <c r="C1572" s="75">
        <f ca="1">IFERROR(__xludf.DUMMYFUNCTION("""COMPUTED_VALUE"""),80)</f>
        <v>80</v>
      </c>
      <c r="D1572" s="75">
        <f ca="1">IFERROR(__xludf.DUMMYFUNCTION("""COMPUTED_VALUE"""),50)</f>
        <v>50</v>
      </c>
      <c r="E1572" s="76">
        <f ca="1">IFERROR(__xludf.DUMMYFUNCTION("""COMPUTED_VALUE"""),130)</f>
        <v>130</v>
      </c>
      <c r="F1572" s="77">
        <f ca="1">IFERROR(__xludf.DUMMYFUNCTION("""COMPUTED_VALUE"""),10080218)</f>
        <v>10080218</v>
      </c>
      <c r="G1572" s="77" t="str">
        <f t="shared" ca="1" si="6"/>
        <v>si</v>
      </c>
    </row>
    <row r="1573" spans="1:7" ht="12.75" x14ac:dyDescent="0.2">
      <c r="A1573" s="62">
        <f ca="1">IFERROR(__xludf.DUMMYFUNCTION("""COMPUTED_VALUE"""),10080217)</f>
        <v>10080217</v>
      </c>
      <c r="B1573" s="62" t="str">
        <f ca="1">IFERROR(__xludf.DUMMYFUNCTION("""COMPUTED_VALUE"""),"Puerto de Carga Samsung a7 2016")</f>
        <v>Puerto de Carga Samsung a7 2016</v>
      </c>
      <c r="C1573" s="75">
        <f ca="1">IFERROR(__xludf.DUMMYFUNCTION("""COMPUTED_VALUE"""),50)</f>
        <v>50</v>
      </c>
      <c r="D1573" s="75">
        <f ca="1">IFERROR(__xludf.DUMMYFUNCTION("""COMPUTED_VALUE"""),50)</f>
        <v>50</v>
      </c>
      <c r="E1573" s="76">
        <f ca="1">IFERROR(__xludf.DUMMYFUNCTION("""COMPUTED_VALUE"""),100)</f>
        <v>100</v>
      </c>
      <c r="F1573" s="77">
        <f ca="1">IFERROR(__xludf.DUMMYFUNCTION("""COMPUTED_VALUE"""),10080217)</f>
        <v>10080217</v>
      </c>
      <c r="G1573" s="77" t="str">
        <f t="shared" ca="1" si="6"/>
        <v>si</v>
      </c>
    </row>
    <row r="1574" spans="1:7" ht="12.75" x14ac:dyDescent="0.2">
      <c r="A1574" s="62">
        <f ca="1">IFERROR(__xludf.DUMMYFUNCTION("""COMPUTED_VALUE"""),10160042)</f>
        <v>10160042</v>
      </c>
      <c r="B1574" s="62" t="str">
        <f ca="1">IFERROR(__xludf.DUMMYFUNCTION("""COMPUTED_VALUE"""),"Puerto de Carga Samsung A70")</f>
        <v>Puerto de Carga Samsung A70</v>
      </c>
      <c r="C1574" s="75">
        <f ca="1">IFERROR(__xludf.DUMMYFUNCTION("""COMPUTED_VALUE"""),80)</f>
        <v>80</v>
      </c>
      <c r="D1574" s="75">
        <f ca="1">IFERROR(__xludf.DUMMYFUNCTION("""COMPUTED_VALUE"""),50)</f>
        <v>50</v>
      </c>
      <c r="E1574" s="76">
        <f ca="1">IFERROR(__xludf.DUMMYFUNCTION("""COMPUTED_VALUE"""),130)</f>
        <v>130</v>
      </c>
      <c r="F1574" s="77">
        <f ca="1">IFERROR(__xludf.DUMMYFUNCTION("""COMPUTED_VALUE"""),10160042)</f>
        <v>10160042</v>
      </c>
      <c r="G1574" s="77" t="str">
        <f t="shared" ca="1" si="6"/>
        <v>si</v>
      </c>
    </row>
    <row r="1575" spans="1:7" ht="12.75" x14ac:dyDescent="0.2">
      <c r="A1575" s="62">
        <f ca="1">IFERROR(__xludf.DUMMYFUNCTION("""COMPUTED_VALUE"""),10080219)</f>
        <v>10080219</v>
      </c>
      <c r="B1575" s="62" t="str">
        <f ca="1">IFERROR(__xludf.DUMMYFUNCTION("""COMPUTED_VALUE"""),"Puerto de Carga Samsung a71")</f>
        <v>Puerto de Carga Samsung a71</v>
      </c>
      <c r="C1575" s="75">
        <f ca="1">IFERROR(__xludf.DUMMYFUNCTION("""COMPUTED_VALUE"""),80)</f>
        <v>80</v>
      </c>
      <c r="D1575" s="75">
        <f ca="1">IFERROR(__xludf.DUMMYFUNCTION("""COMPUTED_VALUE"""),50)</f>
        <v>50</v>
      </c>
      <c r="E1575" s="76">
        <f ca="1">IFERROR(__xludf.DUMMYFUNCTION("""COMPUTED_VALUE"""),130)</f>
        <v>130</v>
      </c>
      <c r="F1575" s="77">
        <f ca="1">IFERROR(__xludf.DUMMYFUNCTION("""COMPUTED_VALUE"""),10080219)</f>
        <v>10080219</v>
      </c>
      <c r="G1575" s="77" t="str">
        <f t="shared" ca="1" si="6"/>
        <v>si</v>
      </c>
    </row>
    <row r="1576" spans="1:7" ht="12.75" x14ac:dyDescent="0.2">
      <c r="A1576" s="62">
        <f ca="1">IFERROR(__xludf.DUMMYFUNCTION("""COMPUTED_VALUE"""),10080220)</f>
        <v>10080220</v>
      </c>
      <c r="B1576" s="62" t="str">
        <f ca="1">IFERROR(__xludf.DUMMYFUNCTION("""COMPUTED_VALUE"""),"Puerto de Carga Samsung a80")</f>
        <v>Puerto de Carga Samsung a80</v>
      </c>
      <c r="C1576" s="75">
        <f ca="1">IFERROR(__xludf.DUMMYFUNCTION("""COMPUTED_VALUE"""),80)</f>
        <v>80</v>
      </c>
      <c r="D1576" s="75">
        <f ca="1">IFERROR(__xludf.DUMMYFUNCTION("""COMPUTED_VALUE"""),50)</f>
        <v>50</v>
      </c>
      <c r="E1576" s="76">
        <f ca="1">IFERROR(__xludf.DUMMYFUNCTION("""COMPUTED_VALUE"""),130)</f>
        <v>130</v>
      </c>
      <c r="F1576" s="77">
        <f ca="1">IFERROR(__xludf.DUMMYFUNCTION("""COMPUTED_VALUE"""),10080220)</f>
        <v>10080220</v>
      </c>
      <c r="G1576" s="77" t="str">
        <f t="shared" ca="1" si="6"/>
        <v>si</v>
      </c>
    </row>
    <row r="1577" spans="1:7" ht="12.75" x14ac:dyDescent="0.2">
      <c r="A1577" s="62">
        <f ca="1">IFERROR(__xludf.DUMMYFUNCTION("""COMPUTED_VALUE"""),10080215)</f>
        <v>10080215</v>
      </c>
      <c r="B1577" s="62" t="str">
        <f ca="1">IFERROR(__xludf.DUMMYFUNCTION("""COMPUTED_VALUE"""),"Puerto de Carga Samsung Note 10 ")</f>
        <v xml:space="preserve">Puerto de Carga Samsung Note 10 </v>
      </c>
      <c r="C1577" s="75">
        <f ca="1">IFERROR(__xludf.DUMMYFUNCTION("""COMPUTED_VALUE"""),80)</f>
        <v>80</v>
      </c>
      <c r="D1577" s="75">
        <f ca="1">IFERROR(__xludf.DUMMYFUNCTION("""COMPUTED_VALUE"""),50)</f>
        <v>50</v>
      </c>
      <c r="E1577" s="76">
        <f ca="1">IFERROR(__xludf.DUMMYFUNCTION("""COMPUTED_VALUE"""),130)</f>
        <v>130</v>
      </c>
      <c r="F1577" s="77">
        <f ca="1">IFERROR(__xludf.DUMMYFUNCTION("""COMPUTED_VALUE"""),10080215)</f>
        <v>10080215</v>
      </c>
      <c r="G1577" s="77" t="str">
        <f t="shared" ca="1" si="6"/>
        <v>si</v>
      </c>
    </row>
    <row r="1578" spans="1:7" ht="12.75" x14ac:dyDescent="0.2">
      <c r="A1578" s="62">
        <f ca="1">IFERROR(__xludf.DUMMYFUNCTION("""COMPUTED_VALUE"""),10160041)</f>
        <v>10160041</v>
      </c>
      <c r="B1578" s="62" t="str">
        <f ca="1">IFERROR(__xludf.DUMMYFUNCTION("""COMPUTED_VALUE"""),"Puerto de Carga Samsung s9 plus")</f>
        <v>Puerto de Carga Samsung s9 plus</v>
      </c>
      <c r="C1578" s="75">
        <f ca="1">IFERROR(__xludf.DUMMYFUNCTION("""COMPUTED_VALUE"""),80)</f>
        <v>80</v>
      </c>
      <c r="D1578" s="75">
        <f ca="1">IFERROR(__xludf.DUMMYFUNCTION("""COMPUTED_VALUE"""),50)</f>
        <v>50</v>
      </c>
      <c r="E1578" s="76">
        <f ca="1">IFERROR(__xludf.DUMMYFUNCTION("""COMPUTED_VALUE"""),130)</f>
        <v>130</v>
      </c>
      <c r="F1578" s="77">
        <f ca="1">IFERROR(__xludf.DUMMYFUNCTION("""COMPUTED_VALUE"""),10160041)</f>
        <v>10160041</v>
      </c>
      <c r="G1578" s="77" t="str">
        <f t="shared" ca="1" si="6"/>
        <v>si</v>
      </c>
    </row>
    <row r="1579" spans="1:7" ht="12.75" x14ac:dyDescent="0.2">
      <c r="A1579" s="62">
        <f ca="1">IFERROR(__xludf.DUMMYFUNCTION("""COMPUTED_VALUE"""),10080213)</f>
        <v>10080213</v>
      </c>
      <c r="B1579" s="62" t="str">
        <f ca="1">IFERROR(__xludf.DUMMYFUNCTION("""COMPUTED_VALUE"""),"Puerto de Carga Samsung s10 (pines)")</f>
        <v>Puerto de Carga Samsung s10 (pines)</v>
      </c>
      <c r="C1579" s="75">
        <f ca="1">IFERROR(__xludf.DUMMYFUNCTION("""COMPUTED_VALUE"""),80)</f>
        <v>80</v>
      </c>
      <c r="D1579" s="75">
        <f ca="1">IFERROR(__xludf.DUMMYFUNCTION("""COMPUTED_VALUE"""),50)</f>
        <v>50</v>
      </c>
      <c r="E1579" s="76">
        <f ca="1">IFERROR(__xludf.DUMMYFUNCTION("""COMPUTED_VALUE"""),130)</f>
        <v>130</v>
      </c>
      <c r="F1579" s="77">
        <f ca="1">IFERROR(__xludf.DUMMYFUNCTION("""COMPUTED_VALUE"""),10080213)</f>
        <v>10080213</v>
      </c>
      <c r="G1579" s="77" t="str">
        <f t="shared" ca="1" si="6"/>
        <v>si</v>
      </c>
    </row>
    <row r="1580" spans="1:7" ht="12.75" x14ac:dyDescent="0.2">
      <c r="A1580" s="62">
        <f ca="1">IFERROR(__xludf.DUMMYFUNCTION("""COMPUTED_VALUE"""),10080214)</f>
        <v>10080214</v>
      </c>
      <c r="B1580" s="62" t="str">
        <f ca="1">IFERROR(__xludf.DUMMYFUNCTION("""COMPUTED_VALUE"""),"Puerto de Carga Samsung s10plus (pines)")</f>
        <v>Puerto de Carga Samsung s10plus (pines)</v>
      </c>
      <c r="C1580" s="75">
        <f ca="1">IFERROR(__xludf.DUMMYFUNCTION("""COMPUTED_VALUE"""),80)</f>
        <v>80</v>
      </c>
      <c r="D1580" s="75">
        <f ca="1">IFERROR(__xludf.DUMMYFUNCTION("""COMPUTED_VALUE"""),50)</f>
        <v>50</v>
      </c>
      <c r="E1580" s="76">
        <f ca="1">IFERROR(__xludf.DUMMYFUNCTION("""COMPUTED_VALUE"""),130)</f>
        <v>130</v>
      </c>
      <c r="F1580" s="77">
        <f ca="1">IFERROR(__xludf.DUMMYFUNCTION("""COMPUTED_VALUE"""),10080214)</f>
        <v>10080214</v>
      </c>
      <c r="G1580" s="77" t="str">
        <f t="shared" ca="1" si="6"/>
        <v>si</v>
      </c>
    </row>
    <row r="1581" spans="1:7" ht="12.75" x14ac:dyDescent="0.2">
      <c r="A1581" s="62">
        <f ca="1">IFERROR(__xludf.DUMMYFUNCTION("""COMPUTED_VALUE"""),10080092)</f>
        <v>10080092</v>
      </c>
      <c r="B1581" s="62" t="str">
        <f ca="1">IFERROR(__xludf.DUMMYFUNCTION("""COMPUTED_VALUE"""),"Puerto de Carga Samsung S20 G981U Original")</f>
        <v>Puerto de Carga Samsung S20 G981U Original</v>
      </c>
      <c r="C1581" s="75">
        <f ca="1">IFERROR(__xludf.DUMMYFUNCTION("""COMPUTED_VALUE"""),75)</f>
        <v>75</v>
      </c>
      <c r="D1581" s="75">
        <f ca="1">IFERROR(__xludf.DUMMYFUNCTION("""COMPUTED_VALUE"""),50)</f>
        <v>50</v>
      </c>
      <c r="E1581" s="76">
        <f ca="1">IFERROR(__xludf.DUMMYFUNCTION("""COMPUTED_VALUE"""),125)</f>
        <v>125</v>
      </c>
      <c r="F1581" s="77">
        <f ca="1">IFERROR(__xludf.DUMMYFUNCTION("""COMPUTED_VALUE"""),10080092)</f>
        <v>10080092</v>
      </c>
      <c r="G1581" s="77" t="str">
        <f t="shared" ca="1" si="6"/>
        <v>si</v>
      </c>
    </row>
    <row r="1582" spans="1:7" ht="12.75" x14ac:dyDescent="0.2">
      <c r="A1582" s="62">
        <f ca="1">IFERROR(__xludf.DUMMYFUNCTION("""COMPUTED_VALUE"""),10080091)</f>
        <v>10080091</v>
      </c>
      <c r="B1582" s="62" t="str">
        <f ca="1">IFERROR(__xludf.DUMMYFUNCTION("""COMPUTED_VALUE"""),"Puerto de Carga Samsung S20 Plus G986N /  G986U / G9860  Original")</f>
        <v>Puerto de Carga Samsung S20 Plus G986N /  G986U / G9860  Original</v>
      </c>
      <c r="C1582" s="75">
        <f ca="1">IFERROR(__xludf.DUMMYFUNCTION("""COMPUTED_VALUE"""),75)</f>
        <v>75</v>
      </c>
      <c r="D1582" s="75">
        <f ca="1">IFERROR(__xludf.DUMMYFUNCTION("""COMPUTED_VALUE"""),50)</f>
        <v>50</v>
      </c>
      <c r="E1582" s="76">
        <f ca="1">IFERROR(__xludf.DUMMYFUNCTION("""COMPUTED_VALUE"""),125)</f>
        <v>125</v>
      </c>
      <c r="F1582" s="77">
        <f ca="1">IFERROR(__xludf.DUMMYFUNCTION("""COMPUTED_VALUE"""),10080091)</f>
        <v>10080091</v>
      </c>
      <c r="G1582" s="77" t="str">
        <f t="shared" ca="1" si="6"/>
        <v>si</v>
      </c>
    </row>
    <row r="1583" spans="1:7" ht="12.75" x14ac:dyDescent="0.2">
      <c r="A1583" s="62">
        <f ca="1">IFERROR(__xludf.DUMMYFUNCTION("""COMPUTED_VALUE"""),10080093)</f>
        <v>10080093</v>
      </c>
      <c r="B1583" s="62" t="str">
        <f ca="1">IFERROR(__xludf.DUMMYFUNCTION("""COMPUTED_VALUE"""),"Puerto de Carga Samsung S20 Ultra G988N / G988U / G9880  Original")</f>
        <v>Puerto de Carga Samsung S20 Ultra G988N / G988U / G9880  Original</v>
      </c>
      <c r="C1583" s="75">
        <f ca="1">IFERROR(__xludf.DUMMYFUNCTION("""COMPUTED_VALUE"""),75)</f>
        <v>75</v>
      </c>
      <c r="D1583" s="75">
        <f ca="1">IFERROR(__xludf.DUMMYFUNCTION("""COMPUTED_VALUE"""),50)</f>
        <v>50</v>
      </c>
      <c r="E1583" s="76">
        <f ca="1">IFERROR(__xludf.DUMMYFUNCTION("""COMPUTED_VALUE"""),125)</f>
        <v>125</v>
      </c>
      <c r="F1583" s="77">
        <f ca="1">IFERROR(__xludf.DUMMYFUNCTION("""COMPUTED_VALUE"""),10080093)</f>
        <v>10080093</v>
      </c>
      <c r="G1583" s="77" t="str">
        <f t="shared" ca="1" si="6"/>
        <v>si</v>
      </c>
    </row>
    <row r="1584" spans="1:7" ht="12.75" x14ac:dyDescent="0.2">
      <c r="A1584" s="62">
        <f ca="1">IFERROR(__xludf.DUMMYFUNCTION("""COMPUTED_VALUE"""),10080208)</f>
        <v>10080208</v>
      </c>
      <c r="B1584" s="62" t="str">
        <f ca="1">IFERROR(__xludf.DUMMYFUNCTION("""COMPUTED_VALUE"""),"Puerto de Carga Samsung s4")</f>
        <v>Puerto de Carga Samsung s4</v>
      </c>
      <c r="C1584" s="75">
        <f ca="1">IFERROR(__xludf.DUMMYFUNCTION("""COMPUTED_VALUE"""),50)</f>
        <v>50</v>
      </c>
      <c r="D1584" s="75">
        <f ca="1">IFERROR(__xludf.DUMMYFUNCTION("""COMPUTED_VALUE"""),50)</f>
        <v>50</v>
      </c>
      <c r="E1584" s="76">
        <f ca="1">IFERROR(__xludf.DUMMYFUNCTION("""COMPUTED_VALUE"""),100)</f>
        <v>100</v>
      </c>
      <c r="F1584" s="77">
        <f ca="1">IFERROR(__xludf.DUMMYFUNCTION("""COMPUTED_VALUE"""),10080208)</f>
        <v>10080208</v>
      </c>
      <c r="G1584" s="77" t="str">
        <f t="shared" ca="1" si="6"/>
        <v>si</v>
      </c>
    </row>
    <row r="1585" spans="1:7" ht="12.75" x14ac:dyDescent="0.2">
      <c r="A1585" s="62">
        <f ca="1">IFERROR(__xludf.DUMMYFUNCTION("""COMPUTED_VALUE"""),10080209)</f>
        <v>10080209</v>
      </c>
      <c r="B1585" s="62" t="str">
        <f ca="1">IFERROR(__xludf.DUMMYFUNCTION("""COMPUTED_VALUE"""),"Puerto de Carga Samsung s5")</f>
        <v>Puerto de Carga Samsung s5</v>
      </c>
      <c r="C1585" s="75">
        <f ca="1">IFERROR(__xludf.DUMMYFUNCTION("""COMPUTED_VALUE"""),50)</f>
        <v>50</v>
      </c>
      <c r="D1585" s="75">
        <f ca="1">IFERROR(__xludf.DUMMYFUNCTION("""COMPUTED_VALUE"""),50)</f>
        <v>50</v>
      </c>
      <c r="E1585" s="76">
        <f ca="1">IFERROR(__xludf.DUMMYFUNCTION("""COMPUTED_VALUE"""),100)</f>
        <v>100</v>
      </c>
      <c r="F1585" s="77">
        <f ca="1">IFERROR(__xludf.DUMMYFUNCTION("""COMPUTED_VALUE"""),10080209)</f>
        <v>10080209</v>
      </c>
      <c r="G1585" s="77" t="str">
        <f t="shared" ca="1" si="6"/>
        <v>si</v>
      </c>
    </row>
    <row r="1586" spans="1:7" ht="12.75" x14ac:dyDescent="0.2">
      <c r="A1586" s="62">
        <f ca="1">IFERROR(__xludf.DUMMYFUNCTION("""COMPUTED_VALUE"""),10080210)</f>
        <v>10080210</v>
      </c>
      <c r="B1586" s="62" t="str">
        <f ca="1">IFERROR(__xludf.DUMMYFUNCTION("""COMPUTED_VALUE"""),"Puerto de Carga Samsung s6")</f>
        <v>Puerto de Carga Samsung s6</v>
      </c>
      <c r="C1586" s="75">
        <f ca="1">IFERROR(__xludf.DUMMYFUNCTION("""COMPUTED_VALUE"""),50)</f>
        <v>50</v>
      </c>
      <c r="D1586" s="75">
        <f ca="1">IFERROR(__xludf.DUMMYFUNCTION("""COMPUTED_VALUE"""),50)</f>
        <v>50</v>
      </c>
      <c r="E1586" s="76">
        <f ca="1">IFERROR(__xludf.DUMMYFUNCTION("""COMPUTED_VALUE"""),100)</f>
        <v>100</v>
      </c>
      <c r="F1586" s="77">
        <f ca="1">IFERROR(__xludf.DUMMYFUNCTION("""COMPUTED_VALUE"""),10080210)</f>
        <v>10080210</v>
      </c>
      <c r="G1586" s="77" t="str">
        <f t="shared" ca="1" si="6"/>
        <v>si</v>
      </c>
    </row>
    <row r="1587" spans="1:7" ht="12.75" x14ac:dyDescent="0.2">
      <c r="A1587" s="62">
        <f ca="1">IFERROR(__xludf.DUMMYFUNCTION("""COMPUTED_VALUE"""),10080211)</f>
        <v>10080211</v>
      </c>
      <c r="B1587" s="62" t="str">
        <f ca="1">IFERROR(__xludf.DUMMYFUNCTION("""COMPUTED_VALUE"""),"Puerto de Carga Samsung s7")</f>
        <v>Puerto de Carga Samsung s7</v>
      </c>
      <c r="C1587" s="75">
        <f ca="1">IFERROR(__xludf.DUMMYFUNCTION("""COMPUTED_VALUE"""),60)</f>
        <v>60</v>
      </c>
      <c r="D1587" s="75">
        <f ca="1">IFERROR(__xludf.DUMMYFUNCTION("""COMPUTED_VALUE"""),50)</f>
        <v>50</v>
      </c>
      <c r="E1587" s="76">
        <f ca="1">IFERROR(__xludf.DUMMYFUNCTION("""COMPUTED_VALUE"""),110)</f>
        <v>110</v>
      </c>
      <c r="F1587" s="77">
        <f ca="1">IFERROR(__xludf.DUMMYFUNCTION("""COMPUTED_VALUE"""),10080211)</f>
        <v>10080211</v>
      </c>
      <c r="G1587" s="77" t="str">
        <f t="shared" ca="1" si="6"/>
        <v>si</v>
      </c>
    </row>
    <row r="1588" spans="1:7" ht="12.75" x14ac:dyDescent="0.2">
      <c r="A1588" s="62">
        <f ca="1">IFERROR(__xludf.DUMMYFUNCTION("""COMPUTED_VALUE"""),10080212)</f>
        <v>10080212</v>
      </c>
      <c r="B1588" s="62" t="str">
        <f ca="1">IFERROR(__xludf.DUMMYFUNCTION("""COMPUTED_VALUE"""),"Puerto de Carga Samsung s7 edge")</f>
        <v>Puerto de Carga Samsung s7 edge</v>
      </c>
      <c r="C1588" s="75">
        <f ca="1">IFERROR(__xludf.DUMMYFUNCTION("""COMPUTED_VALUE"""),60)</f>
        <v>60</v>
      </c>
      <c r="D1588" s="75">
        <f ca="1">IFERROR(__xludf.DUMMYFUNCTION("""COMPUTED_VALUE"""),50)</f>
        <v>50</v>
      </c>
      <c r="E1588" s="76">
        <f ca="1">IFERROR(__xludf.DUMMYFUNCTION("""COMPUTED_VALUE"""),110)</f>
        <v>110</v>
      </c>
      <c r="F1588" s="77">
        <f ca="1">IFERROR(__xludf.DUMMYFUNCTION("""COMPUTED_VALUE"""),10080212)</f>
        <v>10080212</v>
      </c>
      <c r="G1588" s="77" t="str">
        <f t="shared" ca="1" si="6"/>
        <v>si</v>
      </c>
    </row>
    <row r="1589" spans="1:7" ht="12.75" x14ac:dyDescent="0.2">
      <c r="A1589" s="62">
        <f ca="1">IFERROR(__xludf.DUMMYFUNCTION("""COMPUTED_VALUE"""),10160171)</f>
        <v>10160171</v>
      </c>
      <c r="B1589" s="62" t="str">
        <f ca="1">IFERROR(__xludf.DUMMYFUNCTION("""COMPUTED_VALUE"""),"Puerto de Carga Samsung Note 8")</f>
        <v>Puerto de Carga Samsung Note 8</v>
      </c>
      <c r="C1589" s="75">
        <f ca="1">IFERROR(__xludf.DUMMYFUNCTION("""COMPUTED_VALUE"""),80)</f>
        <v>80</v>
      </c>
      <c r="D1589" s="75">
        <f ca="1">IFERROR(__xludf.DUMMYFUNCTION("""COMPUTED_VALUE"""),50)</f>
        <v>50</v>
      </c>
      <c r="E1589" s="76">
        <f ca="1">IFERROR(__xludf.DUMMYFUNCTION("""COMPUTED_VALUE"""),130)</f>
        <v>130</v>
      </c>
      <c r="F1589" s="77">
        <f ca="1">IFERROR(__xludf.DUMMYFUNCTION("""COMPUTED_VALUE"""),10160171)</f>
        <v>10160171</v>
      </c>
      <c r="G1589" s="77" t="str">
        <f t="shared" ca="1" si="6"/>
        <v>si</v>
      </c>
    </row>
    <row r="1590" spans="1:7" ht="12.75" x14ac:dyDescent="0.2">
      <c r="A1590" s="62">
        <f ca="1">IFERROR(__xludf.DUMMYFUNCTION("""COMPUTED_VALUE"""),10160172)</f>
        <v>10160172</v>
      </c>
      <c r="B1590" s="62" t="str">
        <f ca="1">IFERROR(__xludf.DUMMYFUNCTION("""COMPUTED_VALUE"""),"Puerto de Carga Samsung Note 9")</f>
        <v>Puerto de Carga Samsung Note 9</v>
      </c>
      <c r="C1590" s="75">
        <f ca="1">IFERROR(__xludf.DUMMYFUNCTION("""COMPUTED_VALUE"""),80)</f>
        <v>80</v>
      </c>
      <c r="D1590" s="75">
        <f ca="1">IFERROR(__xludf.DUMMYFUNCTION("""COMPUTED_VALUE"""),50)</f>
        <v>50</v>
      </c>
      <c r="E1590" s="76">
        <f ca="1">IFERROR(__xludf.DUMMYFUNCTION("""COMPUTED_VALUE"""),130)</f>
        <v>130</v>
      </c>
      <c r="F1590" s="77">
        <f ca="1">IFERROR(__xludf.DUMMYFUNCTION("""COMPUTED_VALUE"""),10160172)</f>
        <v>10160172</v>
      </c>
      <c r="G1590" s="77" t="str">
        <f t="shared" ca="1" si="6"/>
        <v>si</v>
      </c>
    </row>
    <row r="1591" spans="1:7" ht="12.75" x14ac:dyDescent="0.2">
      <c r="A1591" s="62">
        <f ca="1">IFERROR(__xludf.DUMMYFUNCTION("""COMPUTED_VALUE"""),10080043)</f>
        <v>10080043</v>
      </c>
      <c r="B1591" s="62" t="str">
        <f ca="1">IFERROR(__xludf.DUMMYFUNCTION("""COMPUTED_VALUE"""),"Puerto de Carga Samsung Note 10 Plus")</f>
        <v>Puerto de Carga Samsung Note 10 Plus</v>
      </c>
      <c r="C1591" s="75">
        <f ca="1">IFERROR(__xludf.DUMMYFUNCTION("""COMPUTED_VALUE"""),80)</f>
        <v>80</v>
      </c>
      <c r="D1591" s="75">
        <f ca="1">IFERROR(__xludf.DUMMYFUNCTION("""COMPUTED_VALUE"""),50)</f>
        <v>50</v>
      </c>
      <c r="E1591" s="76">
        <f ca="1">IFERROR(__xludf.DUMMYFUNCTION("""COMPUTED_VALUE"""),130)</f>
        <v>130</v>
      </c>
      <c r="F1591" s="77">
        <f ca="1">IFERROR(__xludf.DUMMYFUNCTION("""COMPUTED_VALUE"""),10080043)</f>
        <v>10080043</v>
      </c>
      <c r="G1591" s="77" t="str">
        <f t="shared" ca="1" si="6"/>
        <v>si</v>
      </c>
    </row>
    <row r="1592" spans="1:7" ht="12.75" x14ac:dyDescent="0.2">
      <c r="A1592" s="62">
        <f ca="1">IFERROR(__xludf.DUMMYFUNCTION("""COMPUTED_VALUE"""),10160177)</f>
        <v>10160177</v>
      </c>
      <c r="B1592" s="62" t="str">
        <f ca="1">IFERROR(__xludf.DUMMYFUNCTION("""COMPUTED_VALUE"""),"Puerto de Carga Samsung Note 20")</f>
        <v>Puerto de Carga Samsung Note 20</v>
      </c>
      <c r="C1592" s="75">
        <f ca="1">IFERROR(__xludf.DUMMYFUNCTION("""COMPUTED_VALUE"""),80)</f>
        <v>80</v>
      </c>
      <c r="D1592" s="75">
        <f ca="1">IFERROR(__xludf.DUMMYFUNCTION("""COMPUTED_VALUE"""),50)</f>
        <v>50</v>
      </c>
      <c r="E1592" s="76">
        <f ca="1">IFERROR(__xludf.DUMMYFUNCTION("""COMPUTED_VALUE"""),130)</f>
        <v>130</v>
      </c>
      <c r="F1592" s="77">
        <f ca="1">IFERROR(__xludf.DUMMYFUNCTION("""COMPUTED_VALUE"""),10160177)</f>
        <v>10160177</v>
      </c>
      <c r="G1592" s="77" t="str">
        <f t="shared" ca="1" si="6"/>
        <v>si</v>
      </c>
    </row>
    <row r="1593" spans="1:7" ht="12.75" x14ac:dyDescent="0.2">
      <c r="A1593" s="62">
        <f ca="1">IFERROR(__xludf.DUMMYFUNCTION("""COMPUTED_VALUE"""),10160178)</f>
        <v>10160178</v>
      </c>
      <c r="B1593" s="62" t="str">
        <f ca="1">IFERROR(__xludf.DUMMYFUNCTION("""COMPUTED_VALUE"""),"Puerto de Carga Samsung Note 20 Plus / Ultra")</f>
        <v>Puerto de Carga Samsung Note 20 Plus / Ultra</v>
      </c>
      <c r="C1593" s="75">
        <f ca="1">IFERROR(__xludf.DUMMYFUNCTION("""COMPUTED_VALUE"""),80)</f>
        <v>80</v>
      </c>
      <c r="D1593" s="75">
        <f ca="1">IFERROR(__xludf.DUMMYFUNCTION("""COMPUTED_VALUE"""),50)</f>
        <v>50</v>
      </c>
      <c r="E1593" s="76">
        <f ca="1">IFERROR(__xludf.DUMMYFUNCTION("""COMPUTED_VALUE"""),130)</f>
        <v>130</v>
      </c>
      <c r="F1593" s="77">
        <f ca="1">IFERROR(__xludf.DUMMYFUNCTION("""COMPUTED_VALUE"""),10160178)</f>
        <v>10160178</v>
      </c>
      <c r="G1593" s="77" t="str">
        <f t="shared" ca="1" si="6"/>
        <v>si</v>
      </c>
    </row>
    <row r="1594" spans="1:7" ht="12.75" x14ac:dyDescent="0.2">
      <c r="A1594" s="62">
        <f ca="1">IFERROR(__xludf.DUMMYFUNCTION("""COMPUTED_VALUE"""),10160179)</f>
        <v>10160179</v>
      </c>
      <c r="B1594" s="62" t="str">
        <f ca="1">IFERROR(__xludf.DUMMYFUNCTION("""COMPUTED_VALUE"""),"Puerto de Carga Samsung S8")</f>
        <v>Puerto de Carga Samsung S8</v>
      </c>
      <c r="C1594" s="75">
        <f ca="1">IFERROR(__xludf.DUMMYFUNCTION("""COMPUTED_VALUE"""),80)</f>
        <v>80</v>
      </c>
      <c r="D1594" s="75">
        <f ca="1">IFERROR(__xludf.DUMMYFUNCTION("""COMPUTED_VALUE"""),50)</f>
        <v>50</v>
      </c>
      <c r="E1594" s="76">
        <f ca="1">IFERROR(__xludf.DUMMYFUNCTION("""COMPUTED_VALUE"""),130)</f>
        <v>130</v>
      </c>
      <c r="F1594" s="77">
        <f ca="1">IFERROR(__xludf.DUMMYFUNCTION("""COMPUTED_VALUE"""),10160179)</f>
        <v>10160179</v>
      </c>
      <c r="G1594" s="77" t="str">
        <f t="shared" ca="1" si="6"/>
        <v>si</v>
      </c>
    </row>
    <row r="1595" spans="1:7" ht="12.75" x14ac:dyDescent="0.2">
      <c r="A1595" s="62">
        <f ca="1">IFERROR(__xludf.DUMMYFUNCTION("""COMPUTED_VALUE"""),10160180)</f>
        <v>10160180</v>
      </c>
      <c r="B1595" s="62" t="str">
        <f ca="1">IFERROR(__xludf.DUMMYFUNCTION("""COMPUTED_VALUE"""),"Puerto de Carga Samsung S8 Plus")</f>
        <v>Puerto de Carga Samsung S8 Plus</v>
      </c>
      <c r="C1595" s="75">
        <f ca="1">IFERROR(__xludf.DUMMYFUNCTION("""COMPUTED_VALUE"""),80)</f>
        <v>80</v>
      </c>
      <c r="D1595" s="75">
        <f ca="1">IFERROR(__xludf.DUMMYFUNCTION("""COMPUTED_VALUE"""),50)</f>
        <v>50</v>
      </c>
      <c r="E1595" s="76">
        <f ca="1">IFERROR(__xludf.DUMMYFUNCTION("""COMPUTED_VALUE"""),130)</f>
        <v>130</v>
      </c>
      <c r="F1595" s="77">
        <f ca="1">IFERROR(__xludf.DUMMYFUNCTION("""COMPUTED_VALUE"""),10160180)</f>
        <v>10160180</v>
      </c>
      <c r="G1595" s="77" t="str">
        <f t="shared" ca="1" si="6"/>
        <v>si</v>
      </c>
    </row>
    <row r="1596" spans="1:7" ht="12.75" x14ac:dyDescent="0.2">
      <c r="A1596" s="62">
        <f ca="1">IFERROR(__xludf.DUMMYFUNCTION("""COMPUTED_VALUE"""),10140111)</f>
        <v>10140111</v>
      </c>
      <c r="B1596" s="62" t="str">
        <f ca="1">IFERROR(__xludf.DUMMYFUNCTION("""COMPUTED_VALUE"""),"Puerto de Carga s9")</f>
        <v>Puerto de Carga s9</v>
      </c>
      <c r="C1596" s="75">
        <f ca="1">IFERROR(__xludf.DUMMYFUNCTION("""COMPUTED_VALUE"""),90)</f>
        <v>90</v>
      </c>
      <c r="D1596" s="75">
        <f ca="1">IFERROR(__xludf.DUMMYFUNCTION("""COMPUTED_VALUE"""),50)</f>
        <v>50</v>
      </c>
      <c r="E1596" s="76">
        <f ca="1">IFERROR(__xludf.DUMMYFUNCTION("""COMPUTED_VALUE"""),140)</f>
        <v>140</v>
      </c>
      <c r="F1596" s="77">
        <f ca="1">IFERROR(__xludf.DUMMYFUNCTION("""COMPUTED_VALUE"""),10140111)</f>
        <v>10140111</v>
      </c>
      <c r="G1596" s="77" t="str">
        <f t="shared" ca="1" si="6"/>
        <v>si</v>
      </c>
    </row>
    <row r="1597" spans="1:7" ht="12.75" x14ac:dyDescent="0.2">
      <c r="A1597" s="62">
        <f ca="1">IFERROR(__xludf.DUMMYFUNCTION("""COMPUTED_VALUE"""),10160181)</f>
        <v>10160181</v>
      </c>
      <c r="B1597" s="62" t="str">
        <f ca="1">IFERROR(__xludf.DUMMYFUNCTION("""COMPUTED_VALUE"""),"Puerto de Carga Samsung S21")</f>
        <v>Puerto de Carga Samsung S21</v>
      </c>
      <c r="C1597" s="75">
        <f ca="1">IFERROR(__xludf.DUMMYFUNCTION("""COMPUTED_VALUE"""),120)</f>
        <v>120</v>
      </c>
      <c r="D1597" s="75">
        <f ca="1">IFERROR(__xludf.DUMMYFUNCTION("""COMPUTED_VALUE"""),50)</f>
        <v>50</v>
      </c>
      <c r="E1597" s="76">
        <f ca="1">IFERROR(__xludf.DUMMYFUNCTION("""COMPUTED_VALUE"""),170)</f>
        <v>170</v>
      </c>
      <c r="F1597" s="77">
        <f ca="1">IFERROR(__xludf.DUMMYFUNCTION("""COMPUTED_VALUE"""),10160181)</f>
        <v>10160181</v>
      </c>
      <c r="G1597" s="77" t="str">
        <f t="shared" ca="1" si="6"/>
        <v>si</v>
      </c>
    </row>
    <row r="1598" spans="1:7" ht="12.75" x14ac:dyDescent="0.2">
      <c r="A1598" s="62">
        <f ca="1">IFERROR(__xludf.DUMMYFUNCTION("""COMPUTED_VALUE"""),10080374)</f>
        <v>10080374</v>
      </c>
      <c r="B1598" s="62" t="str">
        <f ca="1">IFERROR(__xludf.DUMMYFUNCTION("""COMPUTED_VALUE"""),"Puerto Carga S21 Ultra")</f>
        <v>Puerto Carga S21 Ultra</v>
      </c>
      <c r="C1598" s="75">
        <f ca="1">IFERROR(__xludf.DUMMYFUNCTION("""COMPUTED_VALUE"""),200)</f>
        <v>200</v>
      </c>
      <c r="D1598" s="75">
        <f ca="1">IFERROR(__xludf.DUMMYFUNCTION("""COMPUTED_VALUE"""),50)</f>
        <v>50</v>
      </c>
      <c r="E1598" s="76">
        <f ca="1">IFERROR(__xludf.DUMMYFUNCTION("""COMPUTED_VALUE"""),250)</f>
        <v>250</v>
      </c>
      <c r="F1598" s="77">
        <f ca="1">IFERROR(__xludf.DUMMYFUNCTION("""COMPUTED_VALUE"""),10080374)</f>
        <v>10080374</v>
      </c>
      <c r="G1598" s="77" t="str">
        <f t="shared" ca="1" si="6"/>
        <v>si</v>
      </c>
    </row>
    <row r="1599" spans="1:7" ht="12.75" x14ac:dyDescent="0.2">
      <c r="A1599" s="62">
        <f ca="1">IFERROR(__xludf.DUMMYFUNCTION("""COMPUTED_VALUE"""),10080375)</f>
        <v>10080375</v>
      </c>
      <c r="B1599" s="62" t="str">
        <f ca="1">IFERROR(__xludf.DUMMYFUNCTION("""COMPUTED_VALUE"""),"Puerto Carga S21 Plus")</f>
        <v>Puerto Carga S21 Plus</v>
      </c>
      <c r="C1599" s="75">
        <f ca="1">IFERROR(__xludf.DUMMYFUNCTION("""COMPUTED_VALUE"""),200)</f>
        <v>200</v>
      </c>
      <c r="D1599" s="75">
        <f ca="1">IFERROR(__xludf.DUMMYFUNCTION("""COMPUTED_VALUE"""),50)</f>
        <v>50</v>
      </c>
      <c r="E1599" s="76">
        <f ca="1">IFERROR(__xludf.DUMMYFUNCTION("""COMPUTED_VALUE"""),250)</f>
        <v>250</v>
      </c>
      <c r="F1599" s="77">
        <f ca="1">IFERROR(__xludf.DUMMYFUNCTION("""COMPUTED_VALUE"""),10080375)</f>
        <v>10080375</v>
      </c>
      <c r="G1599" s="77" t="str">
        <f t="shared" ca="1" si="6"/>
        <v>si</v>
      </c>
    </row>
    <row r="1600" spans="1:7" ht="12.75" x14ac:dyDescent="0.2">
      <c r="A1600" s="62">
        <f ca="1">IFERROR(__xludf.DUMMYFUNCTION("""COMPUTED_VALUE"""),10080384)</f>
        <v>10080384</v>
      </c>
      <c r="B1600" s="62" t="str">
        <f ca="1">IFERROR(__xludf.DUMMYFUNCTION("""COMPUTED_VALUE"""),"Puerto Carga A31")</f>
        <v>Puerto Carga A31</v>
      </c>
      <c r="C1600" s="75">
        <f ca="1">IFERROR(__xludf.DUMMYFUNCTION("""COMPUTED_VALUE"""),120)</f>
        <v>120</v>
      </c>
      <c r="D1600" s="75">
        <f ca="1">IFERROR(__xludf.DUMMYFUNCTION("""COMPUTED_VALUE"""),50)</f>
        <v>50</v>
      </c>
      <c r="E1600" s="76">
        <f ca="1">IFERROR(__xludf.DUMMYFUNCTION("""COMPUTED_VALUE"""),170)</f>
        <v>170</v>
      </c>
      <c r="F1600" s="77">
        <f ca="1">IFERROR(__xludf.DUMMYFUNCTION("""COMPUTED_VALUE"""),10080384)</f>
        <v>10080384</v>
      </c>
      <c r="G1600" s="77" t="str">
        <f t="shared" ca="1" si="6"/>
        <v>si</v>
      </c>
    </row>
    <row r="1601" spans="1:7" ht="12.75" x14ac:dyDescent="0.2">
      <c r="A1601" s="62">
        <f ca="1">IFERROR(__xludf.DUMMYFUNCTION("""COMPUTED_VALUE"""),10080385)</f>
        <v>10080385</v>
      </c>
      <c r="B1601" s="62" t="str">
        <f ca="1">IFERROR(__xludf.DUMMYFUNCTION("""COMPUTED_VALUE"""),"Puerto Carga A32 4G")</f>
        <v>Puerto Carga A32 4G</v>
      </c>
      <c r="C1601" s="75">
        <f ca="1">IFERROR(__xludf.DUMMYFUNCTION("""COMPUTED_VALUE"""),120)</f>
        <v>120</v>
      </c>
      <c r="D1601" s="75">
        <f ca="1">IFERROR(__xludf.DUMMYFUNCTION("""COMPUTED_VALUE"""),50)</f>
        <v>50</v>
      </c>
      <c r="E1601" s="76">
        <f ca="1">IFERROR(__xludf.DUMMYFUNCTION("""COMPUTED_VALUE"""),170)</f>
        <v>170</v>
      </c>
      <c r="F1601" s="77">
        <f ca="1">IFERROR(__xludf.DUMMYFUNCTION("""COMPUTED_VALUE"""),10080385)</f>
        <v>10080385</v>
      </c>
      <c r="G1601" s="77" t="str">
        <f t="shared" ca="1" si="6"/>
        <v>si</v>
      </c>
    </row>
    <row r="1602" spans="1:7" ht="12.75" x14ac:dyDescent="0.2">
      <c r="A1602" s="62">
        <f ca="1">IFERROR(__xludf.DUMMYFUNCTION("""COMPUTED_VALUE"""),10080386)</f>
        <v>10080386</v>
      </c>
      <c r="B1602" s="62" t="str">
        <f ca="1">IFERROR(__xludf.DUMMYFUNCTION("""COMPUTED_VALUE"""),"Puerto Carga A32 5G")</f>
        <v>Puerto Carga A32 5G</v>
      </c>
      <c r="C1602" s="75">
        <f ca="1">IFERROR(__xludf.DUMMYFUNCTION("""COMPUTED_VALUE"""),120)</f>
        <v>120</v>
      </c>
      <c r="D1602" s="75">
        <f ca="1">IFERROR(__xludf.DUMMYFUNCTION("""COMPUTED_VALUE"""),50)</f>
        <v>50</v>
      </c>
      <c r="E1602" s="76">
        <f ca="1">IFERROR(__xludf.DUMMYFUNCTION("""COMPUTED_VALUE"""),170)</f>
        <v>170</v>
      </c>
      <c r="F1602" s="77">
        <f ca="1">IFERROR(__xludf.DUMMYFUNCTION("""COMPUTED_VALUE"""),10080386)</f>
        <v>10080386</v>
      </c>
      <c r="G1602" s="77" t="str">
        <f t="shared" ca="1" si="6"/>
        <v>si</v>
      </c>
    </row>
    <row r="1603" spans="1:7" ht="12.75" x14ac:dyDescent="0.2">
      <c r="A1603" s="62">
        <f ca="1">IFERROR(__xludf.DUMMYFUNCTION("""COMPUTED_VALUE"""),10080121)</f>
        <v>10080121</v>
      </c>
      <c r="B1603" s="62" t="str">
        <f ca="1">IFERROR(__xludf.DUMMYFUNCTION("""COMPUTED_VALUE"""),"Puerto de Carga Moto E5 ")</f>
        <v xml:space="preserve">Puerto de Carga Moto E5 </v>
      </c>
      <c r="C1603" s="75">
        <f ca="1">IFERROR(__xludf.DUMMYFUNCTION("""COMPUTED_VALUE"""),55)</f>
        <v>55</v>
      </c>
      <c r="D1603" s="75">
        <f ca="1">IFERROR(__xludf.DUMMYFUNCTION("""COMPUTED_VALUE"""),50)</f>
        <v>50</v>
      </c>
      <c r="E1603" s="76">
        <f ca="1">IFERROR(__xludf.DUMMYFUNCTION("""COMPUTED_VALUE"""),105)</f>
        <v>105</v>
      </c>
      <c r="F1603" s="77">
        <f ca="1">IFERROR(__xludf.DUMMYFUNCTION("""COMPUTED_VALUE"""),10080121)</f>
        <v>10080121</v>
      </c>
      <c r="G1603" s="77" t="str">
        <f t="shared" ca="1" si="6"/>
        <v>si</v>
      </c>
    </row>
    <row r="1604" spans="1:7" ht="12.75" x14ac:dyDescent="0.2">
      <c r="A1604" s="62">
        <f ca="1">IFERROR(__xludf.DUMMYFUNCTION("""COMPUTED_VALUE"""),10080255)</f>
        <v>10080255</v>
      </c>
      <c r="B1604" s="62" t="str">
        <f ca="1">IFERROR(__xludf.DUMMYFUNCTION("""COMPUTED_VALUE"""),"Puerto de Carga Motorolla e4 plus")</f>
        <v>Puerto de Carga Motorolla e4 plus</v>
      </c>
      <c r="C1604" s="75">
        <f ca="1">IFERROR(__xludf.DUMMYFUNCTION("""COMPUTED_VALUE"""),50)</f>
        <v>50</v>
      </c>
      <c r="D1604" s="75">
        <f ca="1">IFERROR(__xludf.DUMMYFUNCTION("""COMPUTED_VALUE"""),50)</f>
        <v>50</v>
      </c>
      <c r="E1604" s="76">
        <f ca="1">IFERROR(__xludf.DUMMYFUNCTION("""COMPUTED_VALUE"""),100)</f>
        <v>100</v>
      </c>
      <c r="F1604" s="77">
        <f ca="1">IFERROR(__xludf.DUMMYFUNCTION("""COMPUTED_VALUE"""),10080255)</f>
        <v>10080255</v>
      </c>
      <c r="G1604" s="77" t="str">
        <f t="shared" ca="1" si="6"/>
        <v>si</v>
      </c>
    </row>
    <row r="1605" spans="1:7" ht="12.75" x14ac:dyDescent="0.2">
      <c r="A1605" s="62">
        <f ca="1">IFERROR(__xludf.DUMMYFUNCTION("""COMPUTED_VALUE"""),10080256)</f>
        <v>10080256</v>
      </c>
      <c r="B1605" s="62" t="str">
        <f ca="1">IFERROR(__xludf.DUMMYFUNCTION("""COMPUTED_VALUE"""),"Puerto de Carga Motorolla e5 / g6 play")</f>
        <v>Puerto de Carga Motorolla e5 / g6 play</v>
      </c>
      <c r="C1605" s="75">
        <f ca="1">IFERROR(__xludf.DUMMYFUNCTION("""COMPUTED_VALUE"""),50)</f>
        <v>50</v>
      </c>
      <c r="D1605" s="75">
        <f ca="1">IFERROR(__xludf.DUMMYFUNCTION("""COMPUTED_VALUE"""),50)</f>
        <v>50</v>
      </c>
      <c r="E1605" s="76">
        <f ca="1">IFERROR(__xludf.DUMMYFUNCTION("""COMPUTED_VALUE"""),100)</f>
        <v>100</v>
      </c>
      <c r="F1605" s="77">
        <f ca="1">IFERROR(__xludf.DUMMYFUNCTION("""COMPUTED_VALUE"""),10080256)</f>
        <v>10080256</v>
      </c>
      <c r="G1605" s="77" t="str">
        <f t="shared" ca="1" si="6"/>
        <v>si</v>
      </c>
    </row>
    <row r="1606" spans="1:7" ht="12.75" x14ac:dyDescent="0.2">
      <c r="A1606" s="62">
        <f ca="1">IFERROR(__xludf.DUMMYFUNCTION("""COMPUTED_VALUE"""),10080257)</f>
        <v>10080257</v>
      </c>
      <c r="B1606" s="62" t="str">
        <f ca="1">IFERROR(__xludf.DUMMYFUNCTION("""COMPUTED_VALUE"""),"Puerto de Carga Motorolla e5 play")</f>
        <v>Puerto de Carga Motorolla e5 play</v>
      </c>
      <c r="C1606" s="75">
        <f ca="1">IFERROR(__xludf.DUMMYFUNCTION("""COMPUTED_VALUE"""),50)</f>
        <v>50</v>
      </c>
      <c r="D1606" s="75">
        <f ca="1">IFERROR(__xludf.DUMMYFUNCTION("""COMPUTED_VALUE"""),50)</f>
        <v>50</v>
      </c>
      <c r="E1606" s="76">
        <f ca="1">IFERROR(__xludf.DUMMYFUNCTION("""COMPUTED_VALUE"""),100)</f>
        <v>100</v>
      </c>
      <c r="F1606" s="77">
        <f ca="1">IFERROR(__xludf.DUMMYFUNCTION("""COMPUTED_VALUE"""),10080257)</f>
        <v>10080257</v>
      </c>
      <c r="G1606" s="77" t="str">
        <f t="shared" ca="1" si="6"/>
        <v>si</v>
      </c>
    </row>
    <row r="1607" spans="1:7" ht="12.75" x14ac:dyDescent="0.2">
      <c r="A1607" s="62">
        <f ca="1">IFERROR(__xludf.DUMMYFUNCTION("""COMPUTED_VALUE"""),10080258)</f>
        <v>10080258</v>
      </c>
      <c r="B1607" s="62" t="str">
        <f ca="1">IFERROR(__xludf.DUMMYFUNCTION("""COMPUTED_VALUE"""),"Puerto de Carga Motorolla g5 plus")</f>
        <v>Puerto de Carga Motorolla g5 plus</v>
      </c>
      <c r="C1607" s="75">
        <f ca="1">IFERROR(__xludf.DUMMYFUNCTION("""COMPUTED_VALUE"""),50)</f>
        <v>50</v>
      </c>
      <c r="D1607" s="75">
        <f ca="1">IFERROR(__xludf.DUMMYFUNCTION("""COMPUTED_VALUE"""),50)</f>
        <v>50</v>
      </c>
      <c r="E1607" s="76">
        <f ca="1">IFERROR(__xludf.DUMMYFUNCTION("""COMPUTED_VALUE"""),100)</f>
        <v>100</v>
      </c>
      <c r="F1607" s="77">
        <f ca="1">IFERROR(__xludf.DUMMYFUNCTION("""COMPUTED_VALUE"""),10080258)</f>
        <v>10080258</v>
      </c>
      <c r="G1607" s="77" t="str">
        <f t="shared" ca="1" si="6"/>
        <v>si</v>
      </c>
    </row>
    <row r="1608" spans="1:7" ht="12.75" x14ac:dyDescent="0.2">
      <c r="A1608" s="62">
        <f ca="1">IFERROR(__xludf.DUMMYFUNCTION("""COMPUTED_VALUE"""),10080259)</f>
        <v>10080259</v>
      </c>
      <c r="B1608" s="62" t="str">
        <f ca="1">IFERROR(__xludf.DUMMYFUNCTION("""COMPUTED_VALUE"""),"Puerto de Carga Motorolla g6 plus")</f>
        <v>Puerto de Carga Motorolla g6 plus</v>
      </c>
      <c r="C1608" s="75">
        <f ca="1">IFERROR(__xludf.DUMMYFUNCTION("""COMPUTED_VALUE"""),50)</f>
        <v>50</v>
      </c>
      <c r="D1608" s="75">
        <f ca="1">IFERROR(__xludf.DUMMYFUNCTION("""COMPUTED_VALUE"""),50)</f>
        <v>50</v>
      </c>
      <c r="E1608" s="76">
        <f ca="1">IFERROR(__xludf.DUMMYFUNCTION("""COMPUTED_VALUE"""),100)</f>
        <v>100</v>
      </c>
      <c r="F1608" s="77">
        <f ca="1">IFERROR(__xludf.DUMMYFUNCTION("""COMPUTED_VALUE"""),10080259)</f>
        <v>10080259</v>
      </c>
      <c r="G1608" s="77" t="str">
        <f t="shared" ca="1" si="6"/>
        <v>si</v>
      </c>
    </row>
    <row r="1609" spans="1:7" ht="12.75" x14ac:dyDescent="0.2">
      <c r="A1609" s="62">
        <f ca="1">IFERROR(__xludf.DUMMYFUNCTION("""COMPUTED_VALUE"""),10080261)</f>
        <v>10080261</v>
      </c>
      <c r="B1609" s="62" t="str">
        <f ca="1">IFERROR(__xludf.DUMMYFUNCTION("""COMPUTED_VALUE"""),"Puerto de Carga Motorolla g8 play")</f>
        <v>Puerto de Carga Motorolla g8 play</v>
      </c>
      <c r="C1609" s="75">
        <f ca="1">IFERROR(__xludf.DUMMYFUNCTION("""COMPUTED_VALUE"""),80)</f>
        <v>80</v>
      </c>
      <c r="D1609" s="75">
        <f ca="1">IFERROR(__xludf.DUMMYFUNCTION("""COMPUTED_VALUE"""),50)</f>
        <v>50</v>
      </c>
      <c r="E1609" s="76">
        <f ca="1">IFERROR(__xludf.DUMMYFUNCTION("""COMPUTED_VALUE"""),130)</f>
        <v>130</v>
      </c>
      <c r="F1609" s="77">
        <f ca="1">IFERROR(__xludf.DUMMYFUNCTION("""COMPUTED_VALUE"""),10080261)</f>
        <v>10080261</v>
      </c>
      <c r="G1609" s="77" t="str">
        <f t="shared" ca="1" si="6"/>
        <v>si</v>
      </c>
    </row>
    <row r="1610" spans="1:7" ht="12.75" x14ac:dyDescent="0.2">
      <c r="A1610" s="62">
        <f ca="1">IFERROR(__xludf.DUMMYFUNCTION("""COMPUTED_VALUE"""),10080260)</f>
        <v>10080260</v>
      </c>
      <c r="B1610" s="62" t="str">
        <f ca="1">IFERROR(__xludf.DUMMYFUNCTION("""COMPUTED_VALUE"""),"Puerto de Carga Motorolla g8 plus")</f>
        <v>Puerto de Carga Motorolla g8 plus</v>
      </c>
      <c r="C1610" s="75">
        <f ca="1">IFERROR(__xludf.DUMMYFUNCTION("""COMPUTED_VALUE"""),80)</f>
        <v>80</v>
      </c>
      <c r="D1610" s="75">
        <f ca="1">IFERROR(__xludf.DUMMYFUNCTION("""COMPUTED_VALUE"""),50)</f>
        <v>50</v>
      </c>
      <c r="E1610" s="76">
        <f ca="1">IFERROR(__xludf.DUMMYFUNCTION("""COMPUTED_VALUE"""),130)</f>
        <v>130</v>
      </c>
      <c r="F1610" s="77">
        <f ca="1">IFERROR(__xludf.DUMMYFUNCTION("""COMPUTED_VALUE"""),10080260)</f>
        <v>10080260</v>
      </c>
      <c r="G1610" s="77" t="str">
        <f t="shared" ca="1" si="6"/>
        <v>si</v>
      </c>
    </row>
    <row r="1611" spans="1:7" ht="12.75" x14ac:dyDescent="0.2">
      <c r="A1611" s="62">
        <f ca="1">IFERROR(__xludf.DUMMYFUNCTION("""COMPUTED_VALUE"""),10160286)</f>
        <v>10160286</v>
      </c>
      <c r="B1611" s="62" t="str">
        <f ca="1">IFERROR(__xludf.DUMMYFUNCTION("""COMPUTED_VALUE""")," Puerto de Carga g8 Power")</f>
        <v xml:space="preserve"> Puerto de Carga g8 Power</v>
      </c>
      <c r="C1611" s="75">
        <f ca="1">IFERROR(__xludf.DUMMYFUNCTION("""COMPUTED_VALUE"""),90)</f>
        <v>90</v>
      </c>
      <c r="D1611" s="75">
        <f ca="1">IFERROR(__xludf.DUMMYFUNCTION("""COMPUTED_VALUE"""),50)</f>
        <v>50</v>
      </c>
      <c r="E1611" s="76">
        <f ca="1">IFERROR(__xludf.DUMMYFUNCTION("""COMPUTED_VALUE"""),140)</f>
        <v>140</v>
      </c>
      <c r="F1611" s="77">
        <f ca="1">IFERROR(__xludf.DUMMYFUNCTION("""COMPUTED_VALUE"""),10160286)</f>
        <v>10160286</v>
      </c>
      <c r="G1611" s="77" t="str">
        <f t="shared" ca="1" si="6"/>
        <v>si</v>
      </c>
    </row>
    <row r="1612" spans="1:7" ht="12.75" x14ac:dyDescent="0.2">
      <c r="A1612" s="62">
        <f ca="1">IFERROR(__xludf.DUMMYFUNCTION("""COMPUTED_VALUE"""),10080264)</f>
        <v>10080264</v>
      </c>
      <c r="B1612" s="62" t="str">
        <f ca="1">IFERROR(__xludf.DUMMYFUNCTION("""COMPUTED_VALUE"""),"Puerto de Carga Motorolla one action")</f>
        <v>Puerto de Carga Motorolla one action</v>
      </c>
      <c r="C1612" s="75">
        <f ca="1">IFERROR(__xludf.DUMMYFUNCTION("""COMPUTED_VALUE"""),80)</f>
        <v>80</v>
      </c>
      <c r="D1612" s="75">
        <f ca="1">IFERROR(__xludf.DUMMYFUNCTION("""COMPUTED_VALUE"""),50)</f>
        <v>50</v>
      </c>
      <c r="E1612" s="76">
        <f ca="1">IFERROR(__xludf.DUMMYFUNCTION("""COMPUTED_VALUE"""),130)</f>
        <v>130</v>
      </c>
      <c r="F1612" s="77">
        <f ca="1">IFERROR(__xludf.DUMMYFUNCTION("""COMPUTED_VALUE"""),10080264)</f>
        <v>10080264</v>
      </c>
      <c r="G1612" s="77" t="str">
        <f t="shared" ca="1" si="6"/>
        <v>si</v>
      </c>
    </row>
    <row r="1613" spans="1:7" ht="12.75" x14ac:dyDescent="0.2">
      <c r="A1613" s="62">
        <f ca="1">IFERROR(__xludf.DUMMYFUNCTION("""COMPUTED_VALUE"""),10080262)</f>
        <v>10080262</v>
      </c>
      <c r="B1613" s="62" t="str">
        <f ca="1">IFERROR(__xludf.DUMMYFUNCTION("""COMPUTED_VALUE"""),"Puerto de Carga Motorolla one macro")</f>
        <v>Puerto de Carga Motorolla one macro</v>
      </c>
      <c r="C1613" s="75">
        <f ca="1">IFERROR(__xludf.DUMMYFUNCTION("""COMPUTED_VALUE"""),80)</f>
        <v>80</v>
      </c>
      <c r="D1613" s="75">
        <f ca="1">IFERROR(__xludf.DUMMYFUNCTION("""COMPUTED_VALUE"""),50)</f>
        <v>50</v>
      </c>
      <c r="E1613" s="76">
        <f ca="1">IFERROR(__xludf.DUMMYFUNCTION("""COMPUTED_VALUE"""),130)</f>
        <v>130</v>
      </c>
      <c r="F1613" s="77">
        <f ca="1">IFERROR(__xludf.DUMMYFUNCTION("""COMPUTED_VALUE"""),10080262)</f>
        <v>10080262</v>
      </c>
      <c r="G1613" s="77" t="str">
        <f t="shared" ca="1" si="6"/>
        <v>si</v>
      </c>
    </row>
    <row r="1614" spans="1:7" ht="12.75" x14ac:dyDescent="0.2">
      <c r="A1614" s="62">
        <f ca="1">IFERROR(__xludf.DUMMYFUNCTION("""COMPUTED_VALUE"""),10080263)</f>
        <v>10080263</v>
      </c>
      <c r="B1614" s="62" t="str">
        <f ca="1">IFERROR(__xludf.DUMMYFUNCTION("""COMPUTED_VALUE"""),"Puerto de Carga Motorolla one vision")</f>
        <v>Puerto de Carga Motorolla one vision</v>
      </c>
      <c r="C1614" s="75">
        <f ca="1">IFERROR(__xludf.DUMMYFUNCTION("""COMPUTED_VALUE"""),80)</f>
        <v>80</v>
      </c>
      <c r="D1614" s="75">
        <f ca="1">IFERROR(__xludf.DUMMYFUNCTION("""COMPUTED_VALUE"""),50)</f>
        <v>50</v>
      </c>
      <c r="E1614" s="76">
        <f ca="1">IFERROR(__xludf.DUMMYFUNCTION("""COMPUTED_VALUE"""),130)</f>
        <v>130</v>
      </c>
      <c r="F1614" s="77">
        <f ca="1">IFERROR(__xludf.DUMMYFUNCTION("""COMPUTED_VALUE"""),10080263)</f>
        <v>10080263</v>
      </c>
      <c r="G1614" s="77" t="str">
        <f t="shared" ca="1" si="6"/>
        <v>si</v>
      </c>
    </row>
    <row r="1615" spans="1:7" ht="12.75" x14ac:dyDescent="0.2">
      <c r="A1615" s="62">
        <f ca="1">IFERROR(__xludf.DUMMYFUNCTION("""COMPUTED_VALUE"""),10080221)</f>
        <v>10080221</v>
      </c>
      <c r="B1615" s="62" t="str">
        <f ca="1">IFERROR(__xludf.DUMMYFUNCTION("""COMPUTED_VALUE"""),"Puerto de Carga LG G5")</f>
        <v>Puerto de Carga LG G5</v>
      </c>
      <c r="C1615" s="75">
        <f ca="1">IFERROR(__xludf.DUMMYFUNCTION("""COMPUTED_VALUE"""),50)</f>
        <v>50</v>
      </c>
      <c r="D1615" s="75">
        <f ca="1">IFERROR(__xludf.DUMMYFUNCTION("""COMPUTED_VALUE"""),50)</f>
        <v>50</v>
      </c>
      <c r="E1615" s="76">
        <f ca="1">IFERROR(__xludf.DUMMYFUNCTION("""COMPUTED_VALUE"""),100)</f>
        <v>100</v>
      </c>
      <c r="F1615" s="77">
        <f ca="1">IFERROR(__xludf.DUMMYFUNCTION("""COMPUTED_VALUE"""),10080221)</f>
        <v>10080221</v>
      </c>
      <c r="G1615" s="77" t="str">
        <f t="shared" ca="1" si="6"/>
        <v>si</v>
      </c>
    </row>
    <row r="1616" spans="1:7" ht="12.75" x14ac:dyDescent="0.2">
      <c r="A1616" s="62">
        <f ca="1">IFERROR(__xludf.DUMMYFUNCTION("""COMPUTED_VALUE"""),10080222)</f>
        <v>10080222</v>
      </c>
      <c r="B1616" s="62" t="str">
        <f ca="1">IFERROR(__xludf.DUMMYFUNCTION("""COMPUTED_VALUE"""),"Puerto de Carga LG G6")</f>
        <v>Puerto de Carga LG G6</v>
      </c>
      <c r="C1616" s="75">
        <f ca="1">IFERROR(__xludf.DUMMYFUNCTION("""COMPUTED_VALUE"""),50)</f>
        <v>50</v>
      </c>
      <c r="D1616" s="75">
        <f ca="1">IFERROR(__xludf.DUMMYFUNCTION("""COMPUTED_VALUE"""),50)</f>
        <v>50</v>
      </c>
      <c r="E1616" s="76">
        <f ca="1">IFERROR(__xludf.DUMMYFUNCTION("""COMPUTED_VALUE"""),100)</f>
        <v>100</v>
      </c>
      <c r="F1616" s="77">
        <f ca="1">IFERROR(__xludf.DUMMYFUNCTION("""COMPUTED_VALUE"""),10080222)</f>
        <v>10080222</v>
      </c>
      <c r="G1616" s="77" t="str">
        <f t="shared" ca="1" si="6"/>
        <v>si</v>
      </c>
    </row>
    <row r="1617" spans="1:7" ht="12.75" x14ac:dyDescent="0.2">
      <c r="A1617" s="62">
        <f ca="1">IFERROR(__xludf.DUMMYFUNCTION("""COMPUTED_VALUE"""),10080223)</f>
        <v>10080223</v>
      </c>
      <c r="B1617" s="62" t="str">
        <f ca="1">IFERROR(__xludf.DUMMYFUNCTION("""COMPUTED_VALUE"""),"Puerto de Carga LG K50S")</f>
        <v>Puerto de Carga LG K50S</v>
      </c>
      <c r="C1617" s="75">
        <f ca="1">IFERROR(__xludf.DUMMYFUNCTION("""COMPUTED_VALUE"""),50)</f>
        <v>50</v>
      </c>
      <c r="D1617" s="75">
        <f ca="1">IFERROR(__xludf.DUMMYFUNCTION("""COMPUTED_VALUE"""),50)</f>
        <v>50</v>
      </c>
      <c r="E1617" s="76">
        <f ca="1">IFERROR(__xludf.DUMMYFUNCTION("""COMPUTED_VALUE"""),100)</f>
        <v>100</v>
      </c>
      <c r="F1617" s="77">
        <f ca="1">IFERROR(__xludf.DUMMYFUNCTION("""COMPUTED_VALUE"""),10080223)</f>
        <v>10080223</v>
      </c>
      <c r="G1617" s="77" t="str">
        <f t="shared" ca="1" si="6"/>
        <v>si</v>
      </c>
    </row>
    <row r="1618" spans="1:7" ht="12.75" x14ac:dyDescent="0.2">
      <c r="A1618" s="62">
        <f ca="1">IFERROR(__xludf.DUMMYFUNCTION("""COMPUTED_VALUE"""),10080266)</f>
        <v>10080266</v>
      </c>
      <c r="B1618" s="62" t="str">
        <f ca="1">IFERROR(__xludf.DUMMYFUNCTION("""COMPUTED_VALUE"""),"Puerto de Carga Sony sony XA")</f>
        <v>Puerto de Carga Sony sony XA</v>
      </c>
      <c r="C1618" s="75">
        <f ca="1">IFERROR(__xludf.DUMMYFUNCTION("""COMPUTED_VALUE"""),50)</f>
        <v>50</v>
      </c>
      <c r="D1618" s="75">
        <f ca="1">IFERROR(__xludf.DUMMYFUNCTION("""COMPUTED_VALUE"""),50)</f>
        <v>50</v>
      </c>
      <c r="E1618" s="76">
        <f ca="1">IFERROR(__xludf.DUMMYFUNCTION("""COMPUTED_VALUE"""),100)</f>
        <v>100</v>
      </c>
      <c r="F1618" s="77">
        <f ca="1">IFERROR(__xludf.DUMMYFUNCTION("""COMPUTED_VALUE"""),10080266)</f>
        <v>10080266</v>
      </c>
      <c r="G1618" s="77" t="str">
        <f t="shared" ca="1" si="6"/>
        <v>si</v>
      </c>
    </row>
    <row r="1619" spans="1:7" ht="12.75" x14ac:dyDescent="0.2">
      <c r="A1619" s="62">
        <f ca="1">IFERROR(__xludf.DUMMYFUNCTION("""COMPUTED_VALUE"""),10080265)</f>
        <v>10080265</v>
      </c>
      <c r="B1619" s="62" t="str">
        <f ca="1">IFERROR(__xludf.DUMMYFUNCTION("""COMPUTED_VALUE"""),"Puerto de Carga Sony xa1 ultra")</f>
        <v>Puerto de Carga Sony xa1 ultra</v>
      </c>
      <c r="C1619" s="75">
        <f ca="1">IFERROR(__xludf.DUMMYFUNCTION("""COMPUTED_VALUE"""),80)</f>
        <v>80</v>
      </c>
      <c r="D1619" s="75">
        <f ca="1">IFERROR(__xludf.DUMMYFUNCTION("""COMPUTED_VALUE"""),50)</f>
        <v>50</v>
      </c>
      <c r="E1619" s="76">
        <f ca="1">IFERROR(__xludf.DUMMYFUNCTION("""COMPUTED_VALUE"""),130)</f>
        <v>130</v>
      </c>
      <c r="F1619" s="77">
        <f ca="1">IFERROR(__xludf.DUMMYFUNCTION("""COMPUTED_VALUE"""),10080265)</f>
        <v>10080265</v>
      </c>
      <c r="G1619" s="77" t="str">
        <f t="shared" ca="1" si="6"/>
        <v>si</v>
      </c>
    </row>
    <row r="1620" spans="1:7" ht="12.75" x14ac:dyDescent="0.2">
      <c r="A1620" s="62">
        <f ca="1">IFERROR(__xludf.DUMMYFUNCTION("""COMPUTED_VALUE"""),10080267)</f>
        <v>10080267</v>
      </c>
      <c r="B1620" s="62" t="str">
        <f ca="1">IFERROR(__xludf.DUMMYFUNCTION("""COMPUTED_VALUE"""),"Puerto de Carga Sony xa2  ultra")</f>
        <v>Puerto de Carga Sony xa2  ultra</v>
      </c>
      <c r="C1620" s="75">
        <f ca="1">IFERROR(__xludf.DUMMYFUNCTION("""COMPUTED_VALUE"""),80)</f>
        <v>80</v>
      </c>
      <c r="D1620" s="75">
        <f ca="1">IFERROR(__xludf.DUMMYFUNCTION("""COMPUTED_VALUE"""),50)</f>
        <v>50</v>
      </c>
      <c r="E1620" s="76">
        <f ca="1">IFERROR(__xludf.DUMMYFUNCTION("""COMPUTED_VALUE"""),130)</f>
        <v>130</v>
      </c>
      <c r="F1620" s="77">
        <f ca="1">IFERROR(__xludf.DUMMYFUNCTION("""COMPUTED_VALUE"""),10080267)</f>
        <v>10080267</v>
      </c>
      <c r="G1620" s="77" t="str">
        <f t="shared" ca="1" si="6"/>
        <v>si</v>
      </c>
    </row>
    <row r="1621" spans="1:7" ht="12.75" x14ac:dyDescent="0.2">
      <c r="A1621" s="62">
        <f ca="1">IFERROR(__xludf.DUMMYFUNCTION("""COMPUTED_VALUE"""),10080268)</f>
        <v>10080268</v>
      </c>
      <c r="B1621" s="62" t="str">
        <f ca="1">IFERROR(__xludf.DUMMYFUNCTION("""COMPUTED_VALUE"""),"Puerto de Carga Sony xz premium")</f>
        <v>Puerto de Carga Sony xz premium</v>
      </c>
      <c r="C1621" s="75">
        <f ca="1">IFERROR(__xludf.DUMMYFUNCTION("""COMPUTED_VALUE"""),80)</f>
        <v>80</v>
      </c>
      <c r="D1621" s="75">
        <f ca="1">IFERROR(__xludf.DUMMYFUNCTION("""COMPUTED_VALUE"""),50)</f>
        <v>50</v>
      </c>
      <c r="E1621" s="76">
        <f ca="1">IFERROR(__xludf.DUMMYFUNCTION("""COMPUTED_VALUE"""),130)</f>
        <v>130</v>
      </c>
      <c r="F1621" s="77">
        <f ca="1">IFERROR(__xludf.DUMMYFUNCTION("""COMPUTED_VALUE"""),10080268)</f>
        <v>10080268</v>
      </c>
      <c r="G1621" s="77" t="str">
        <f t="shared" ca="1" si="6"/>
        <v>si</v>
      </c>
    </row>
    <row r="1622" spans="1:7" ht="12.75" x14ac:dyDescent="0.2">
      <c r="A1622" s="62">
        <f ca="1">IFERROR(__xludf.DUMMYFUNCTION("""COMPUTED_VALUE"""),10080269)</f>
        <v>10080269</v>
      </c>
      <c r="B1622" s="62" t="str">
        <f ca="1">IFERROR(__xludf.DUMMYFUNCTION("""COMPUTED_VALUE"""),"Puerto de Carga Sony z3 PLUS")</f>
        <v>Puerto de Carga Sony z3 PLUS</v>
      </c>
      <c r="C1622" s="75">
        <f ca="1">IFERROR(__xludf.DUMMYFUNCTION("""COMPUTED_VALUE"""),60)</f>
        <v>60</v>
      </c>
      <c r="D1622" s="75">
        <f ca="1">IFERROR(__xludf.DUMMYFUNCTION("""COMPUTED_VALUE"""),50)</f>
        <v>50</v>
      </c>
      <c r="E1622" s="76">
        <f ca="1">IFERROR(__xludf.DUMMYFUNCTION("""COMPUTED_VALUE"""),110)</f>
        <v>110</v>
      </c>
      <c r="F1622" s="77">
        <f ca="1">IFERROR(__xludf.DUMMYFUNCTION("""COMPUTED_VALUE"""),10080269)</f>
        <v>10080269</v>
      </c>
      <c r="G1622" s="77" t="str">
        <f t="shared" ca="1" si="6"/>
        <v>si</v>
      </c>
    </row>
    <row r="1623" spans="1:7" ht="12.75" x14ac:dyDescent="0.2">
      <c r="A1623" s="62">
        <f ca="1">IFERROR(__xludf.DUMMYFUNCTION("""COMPUTED_VALUE"""),10080273)</f>
        <v>10080273</v>
      </c>
      <c r="B1623" s="62" t="str">
        <f ca="1">IFERROR(__xludf.DUMMYFUNCTION("""COMPUTED_VALUE"""),"Puerto de Carga Xiaomi a1 - 5x")</f>
        <v>Puerto de Carga Xiaomi a1 - 5x</v>
      </c>
      <c r="C1623" s="75">
        <f ca="1">IFERROR(__xludf.DUMMYFUNCTION("""COMPUTED_VALUE"""),60)</f>
        <v>60</v>
      </c>
      <c r="D1623" s="75">
        <f ca="1">IFERROR(__xludf.DUMMYFUNCTION("""COMPUTED_VALUE"""),50)</f>
        <v>50</v>
      </c>
      <c r="E1623" s="76">
        <f ca="1">IFERROR(__xludf.DUMMYFUNCTION("""COMPUTED_VALUE"""),110)</f>
        <v>110</v>
      </c>
      <c r="F1623" s="77">
        <f ca="1">IFERROR(__xludf.DUMMYFUNCTION("""COMPUTED_VALUE"""),10080273)</f>
        <v>10080273</v>
      </c>
      <c r="G1623" s="77" t="str">
        <f t="shared" ca="1" si="6"/>
        <v>si</v>
      </c>
    </row>
    <row r="1624" spans="1:7" ht="12.75" x14ac:dyDescent="0.2">
      <c r="A1624" s="62">
        <f ca="1">IFERROR(__xludf.DUMMYFUNCTION("""COMPUTED_VALUE"""),10080270)</f>
        <v>10080270</v>
      </c>
      <c r="B1624" s="62" t="str">
        <f ca="1">IFERROR(__xludf.DUMMYFUNCTION("""COMPUTED_VALUE"""),"Puerto de Carga Xiaomi a2")</f>
        <v>Puerto de Carga Xiaomi a2</v>
      </c>
      <c r="C1624" s="75">
        <f ca="1">IFERROR(__xludf.DUMMYFUNCTION("""COMPUTED_VALUE"""),60)</f>
        <v>60</v>
      </c>
      <c r="D1624" s="75">
        <f ca="1">IFERROR(__xludf.DUMMYFUNCTION("""COMPUTED_VALUE"""),50)</f>
        <v>50</v>
      </c>
      <c r="E1624" s="76">
        <f ca="1">IFERROR(__xludf.DUMMYFUNCTION("""COMPUTED_VALUE"""),110)</f>
        <v>110</v>
      </c>
      <c r="F1624" s="77">
        <f ca="1">IFERROR(__xludf.DUMMYFUNCTION("""COMPUTED_VALUE"""),10080270)</f>
        <v>10080270</v>
      </c>
      <c r="G1624" s="77" t="str">
        <f t="shared" ca="1" si="6"/>
        <v>si</v>
      </c>
    </row>
    <row r="1625" spans="1:7" ht="12.75" x14ac:dyDescent="0.2">
      <c r="A1625" s="62">
        <f ca="1">IFERROR(__xludf.DUMMYFUNCTION("""COMPUTED_VALUE"""),10080272)</f>
        <v>10080272</v>
      </c>
      <c r="B1625" s="62" t="str">
        <f ca="1">IFERROR(__xludf.DUMMYFUNCTION("""COMPUTED_VALUE"""),"Puerto de Carga Xiaomi a2 lite - 6pro")</f>
        <v>Puerto de Carga Xiaomi a2 lite - 6pro</v>
      </c>
      <c r="C1625" s="75">
        <f ca="1">IFERROR(__xludf.DUMMYFUNCTION("""COMPUTED_VALUE"""),60)</f>
        <v>60</v>
      </c>
      <c r="D1625" s="75">
        <f ca="1">IFERROR(__xludf.DUMMYFUNCTION("""COMPUTED_VALUE"""),50)</f>
        <v>50</v>
      </c>
      <c r="E1625" s="76">
        <f ca="1">IFERROR(__xludf.DUMMYFUNCTION("""COMPUTED_VALUE"""),110)</f>
        <v>110</v>
      </c>
      <c r="F1625" s="77">
        <f ca="1">IFERROR(__xludf.DUMMYFUNCTION("""COMPUTED_VALUE"""),10080272)</f>
        <v>10080272</v>
      </c>
      <c r="G1625" s="77" t="str">
        <f t="shared" ca="1" si="6"/>
        <v>si</v>
      </c>
    </row>
    <row r="1626" spans="1:7" ht="12.75" x14ac:dyDescent="0.2">
      <c r="A1626" s="62">
        <f ca="1">IFERROR(__xludf.DUMMYFUNCTION("""COMPUTED_VALUE"""),10080288)</f>
        <v>10080288</v>
      </c>
      <c r="B1626" s="62" t="str">
        <f ca="1">IFERROR(__xludf.DUMMYFUNCTION("""COMPUTED_VALUE"""),"Puerto de Carga Xiaomi mi 8")</f>
        <v>Puerto de Carga Xiaomi mi 8</v>
      </c>
      <c r="C1626" s="75">
        <f ca="1">IFERROR(__xludf.DUMMYFUNCTION("""COMPUTED_VALUE"""),70)</f>
        <v>70</v>
      </c>
      <c r="D1626" s="75">
        <f ca="1">IFERROR(__xludf.DUMMYFUNCTION("""COMPUTED_VALUE"""),50)</f>
        <v>50</v>
      </c>
      <c r="E1626" s="76">
        <f ca="1">IFERROR(__xludf.DUMMYFUNCTION("""COMPUTED_VALUE"""),120)</f>
        <v>120</v>
      </c>
      <c r="F1626" s="77">
        <f ca="1">IFERROR(__xludf.DUMMYFUNCTION("""COMPUTED_VALUE"""),10080288)</f>
        <v>10080288</v>
      </c>
      <c r="G1626" s="77" t="str">
        <f t="shared" ca="1" si="6"/>
        <v>si</v>
      </c>
    </row>
    <row r="1627" spans="1:7" ht="12.75" x14ac:dyDescent="0.2">
      <c r="A1627" s="62">
        <f ca="1">IFERROR(__xludf.DUMMYFUNCTION("""COMPUTED_VALUE"""),10080289)</f>
        <v>10080289</v>
      </c>
      <c r="B1627" s="62" t="str">
        <f ca="1">IFERROR(__xludf.DUMMYFUNCTION("""COMPUTED_VALUE"""),"Puerto de Carga Xiaomi mi 8 lite")</f>
        <v>Puerto de Carga Xiaomi mi 8 lite</v>
      </c>
      <c r="C1627" s="75">
        <f ca="1">IFERROR(__xludf.DUMMYFUNCTION("""COMPUTED_VALUE"""),70)</f>
        <v>70</v>
      </c>
      <c r="D1627" s="75">
        <f ca="1">IFERROR(__xludf.DUMMYFUNCTION("""COMPUTED_VALUE"""),50)</f>
        <v>50</v>
      </c>
      <c r="E1627" s="76">
        <f ca="1">IFERROR(__xludf.DUMMYFUNCTION("""COMPUTED_VALUE"""),120)</f>
        <v>120</v>
      </c>
      <c r="F1627" s="77">
        <f ca="1">IFERROR(__xludf.DUMMYFUNCTION("""COMPUTED_VALUE"""),10080289)</f>
        <v>10080289</v>
      </c>
      <c r="G1627" s="77" t="str">
        <f t="shared" ca="1" si="6"/>
        <v>si</v>
      </c>
    </row>
    <row r="1628" spans="1:7" ht="12.75" x14ac:dyDescent="0.2">
      <c r="A1628" s="62">
        <f ca="1">IFERROR(__xludf.DUMMYFUNCTION("""COMPUTED_VALUE"""),10080290)</f>
        <v>10080290</v>
      </c>
      <c r="B1628" s="62" t="str">
        <f ca="1">IFERROR(__xludf.DUMMYFUNCTION("""COMPUTED_VALUE"""),"Puerto de Carga Xiaomi mi 9t / mi 9t pro / k20 pro")</f>
        <v>Puerto de Carga Xiaomi mi 9t / mi 9t pro / k20 pro</v>
      </c>
      <c r="C1628" s="75">
        <f ca="1">IFERROR(__xludf.DUMMYFUNCTION("""COMPUTED_VALUE"""),80)</f>
        <v>80</v>
      </c>
      <c r="D1628" s="75">
        <f ca="1">IFERROR(__xludf.DUMMYFUNCTION("""COMPUTED_VALUE"""),50)</f>
        <v>50</v>
      </c>
      <c r="E1628" s="76">
        <f ca="1">IFERROR(__xludf.DUMMYFUNCTION("""COMPUTED_VALUE"""),130)</f>
        <v>130</v>
      </c>
      <c r="F1628" s="77">
        <f ca="1">IFERROR(__xludf.DUMMYFUNCTION("""COMPUTED_VALUE"""),10080290)</f>
        <v>10080290</v>
      </c>
      <c r="G1628" s="77" t="str">
        <f t="shared" ca="1" si="6"/>
        <v>si</v>
      </c>
    </row>
    <row r="1629" spans="1:7" ht="12.75" x14ac:dyDescent="0.2">
      <c r="A1629" s="62">
        <f ca="1">IFERROR(__xludf.DUMMYFUNCTION("""COMPUTED_VALUE"""),10080274)</f>
        <v>10080274</v>
      </c>
      <c r="B1629" s="62" t="str">
        <f ca="1">IFERROR(__xludf.DUMMYFUNCTION("""COMPUTED_VALUE"""),"Puerto de Carga Xiaomi note 4")</f>
        <v>Puerto de Carga Xiaomi note 4</v>
      </c>
      <c r="C1629" s="75">
        <f ca="1">IFERROR(__xludf.DUMMYFUNCTION("""COMPUTED_VALUE"""),50)</f>
        <v>50</v>
      </c>
      <c r="D1629" s="75">
        <f ca="1">IFERROR(__xludf.DUMMYFUNCTION("""COMPUTED_VALUE"""),50)</f>
        <v>50</v>
      </c>
      <c r="E1629" s="76">
        <f ca="1">IFERROR(__xludf.DUMMYFUNCTION("""COMPUTED_VALUE"""),100)</f>
        <v>100</v>
      </c>
      <c r="F1629" s="77">
        <f ca="1">IFERROR(__xludf.DUMMYFUNCTION("""COMPUTED_VALUE"""),10080274)</f>
        <v>10080274</v>
      </c>
      <c r="G1629" s="77" t="str">
        <f t="shared" ca="1" si="6"/>
        <v>si</v>
      </c>
    </row>
    <row r="1630" spans="1:7" ht="12.75" x14ac:dyDescent="0.2">
      <c r="A1630" s="62">
        <f ca="1">IFERROR(__xludf.DUMMYFUNCTION("""COMPUTED_VALUE"""),10080275)</f>
        <v>10080275</v>
      </c>
      <c r="B1630" s="62" t="str">
        <f ca="1">IFERROR(__xludf.DUMMYFUNCTION("""COMPUTED_VALUE"""),"Puerto de Carga Xiaomi note 4x")</f>
        <v>Puerto de Carga Xiaomi note 4x</v>
      </c>
      <c r="C1630" s="75">
        <f ca="1">IFERROR(__xludf.DUMMYFUNCTION("""COMPUTED_VALUE"""),50)</f>
        <v>50</v>
      </c>
      <c r="D1630" s="75">
        <f ca="1">IFERROR(__xludf.DUMMYFUNCTION("""COMPUTED_VALUE"""),50)</f>
        <v>50</v>
      </c>
      <c r="E1630" s="76">
        <f ca="1">IFERROR(__xludf.DUMMYFUNCTION("""COMPUTED_VALUE"""),100)</f>
        <v>100</v>
      </c>
      <c r="F1630" s="77">
        <f ca="1">IFERROR(__xludf.DUMMYFUNCTION("""COMPUTED_VALUE"""),10080275)</f>
        <v>10080275</v>
      </c>
      <c r="G1630" s="77" t="str">
        <f t="shared" ca="1" si="6"/>
        <v>si</v>
      </c>
    </row>
    <row r="1631" spans="1:7" ht="12.75" x14ac:dyDescent="0.2">
      <c r="A1631" s="62">
        <f ca="1">IFERROR(__xludf.DUMMYFUNCTION("""COMPUTED_VALUE"""),10080276)</f>
        <v>10080276</v>
      </c>
      <c r="B1631" s="62" t="str">
        <f ca="1">IFERROR(__xludf.DUMMYFUNCTION("""COMPUTED_VALUE"""),"Puerto de Carga Xiaomi note 5 - note 5 pro")</f>
        <v>Puerto de Carga Xiaomi note 5 - note 5 pro</v>
      </c>
      <c r="C1631" s="75">
        <f ca="1">IFERROR(__xludf.DUMMYFUNCTION("""COMPUTED_VALUE"""),60)</f>
        <v>60</v>
      </c>
      <c r="D1631" s="75">
        <f ca="1">IFERROR(__xludf.DUMMYFUNCTION("""COMPUTED_VALUE"""),50)</f>
        <v>50</v>
      </c>
      <c r="E1631" s="76">
        <f ca="1">IFERROR(__xludf.DUMMYFUNCTION("""COMPUTED_VALUE"""),110)</f>
        <v>110</v>
      </c>
      <c r="F1631" s="77">
        <f ca="1">IFERROR(__xludf.DUMMYFUNCTION("""COMPUTED_VALUE"""),10080276)</f>
        <v>10080276</v>
      </c>
      <c r="G1631" s="77" t="str">
        <f t="shared" ca="1" si="6"/>
        <v>si</v>
      </c>
    </row>
    <row r="1632" spans="1:7" ht="12.75" x14ac:dyDescent="0.2">
      <c r="A1632" s="62">
        <f ca="1">IFERROR(__xludf.DUMMYFUNCTION("""COMPUTED_VALUE"""),10080277)</f>
        <v>10080277</v>
      </c>
      <c r="B1632" s="62" t="str">
        <f ca="1">IFERROR(__xludf.DUMMYFUNCTION("""COMPUTED_VALUE"""),"Puerto de Carga Xiaomi note 5 plus")</f>
        <v>Puerto de Carga Xiaomi note 5 plus</v>
      </c>
      <c r="C1632" s="75">
        <f ca="1">IFERROR(__xludf.DUMMYFUNCTION("""COMPUTED_VALUE"""),60)</f>
        <v>60</v>
      </c>
      <c r="D1632" s="75">
        <f ca="1">IFERROR(__xludf.DUMMYFUNCTION("""COMPUTED_VALUE"""),50)</f>
        <v>50</v>
      </c>
      <c r="E1632" s="76">
        <f ca="1">IFERROR(__xludf.DUMMYFUNCTION("""COMPUTED_VALUE"""),110)</f>
        <v>110</v>
      </c>
      <c r="F1632" s="77">
        <f ca="1">IFERROR(__xludf.DUMMYFUNCTION("""COMPUTED_VALUE"""),10080277)</f>
        <v>10080277</v>
      </c>
      <c r="G1632" s="77" t="str">
        <f t="shared" ca="1" si="6"/>
        <v>si</v>
      </c>
    </row>
    <row r="1633" spans="1:7" ht="12.75" x14ac:dyDescent="0.2">
      <c r="A1633" s="62">
        <f ca="1">IFERROR(__xludf.DUMMYFUNCTION("""COMPUTED_VALUE"""),10080279)</f>
        <v>10080279</v>
      </c>
      <c r="B1633" s="62" t="str">
        <f ca="1">IFERROR(__xludf.DUMMYFUNCTION("""COMPUTED_VALUE"""),"Puerto de Carga Xiaomi note 6 - 6 pro")</f>
        <v>Puerto de Carga Xiaomi note 6 - 6 pro</v>
      </c>
      <c r="C1633" s="75">
        <f ca="1">IFERROR(__xludf.DUMMYFUNCTION("""COMPUTED_VALUE"""),60)</f>
        <v>60</v>
      </c>
      <c r="D1633" s="75">
        <f ca="1">IFERROR(__xludf.DUMMYFUNCTION("""COMPUTED_VALUE"""),50)</f>
        <v>50</v>
      </c>
      <c r="E1633" s="76">
        <f ca="1">IFERROR(__xludf.DUMMYFUNCTION("""COMPUTED_VALUE"""),110)</f>
        <v>110</v>
      </c>
      <c r="F1633" s="77">
        <f ca="1">IFERROR(__xludf.DUMMYFUNCTION("""COMPUTED_VALUE"""),10080279)</f>
        <v>10080279</v>
      </c>
      <c r="G1633" s="77" t="str">
        <f t="shared" ca="1" si="6"/>
        <v>si</v>
      </c>
    </row>
    <row r="1634" spans="1:7" ht="12.75" x14ac:dyDescent="0.2">
      <c r="A1634" s="62">
        <f ca="1">IFERROR(__xludf.DUMMYFUNCTION("""COMPUTED_VALUE"""),10080278)</f>
        <v>10080278</v>
      </c>
      <c r="B1634" s="62" t="str">
        <f ca="1">IFERROR(__xludf.DUMMYFUNCTION("""COMPUTED_VALUE"""),"Puerto de Carga Xiaomi note 6a - redmi 6")</f>
        <v>Puerto de Carga Xiaomi note 6a - redmi 6</v>
      </c>
      <c r="C1634" s="75">
        <f ca="1">IFERROR(__xludf.DUMMYFUNCTION("""COMPUTED_VALUE"""),60)</f>
        <v>60</v>
      </c>
      <c r="D1634" s="75">
        <f ca="1">IFERROR(__xludf.DUMMYFUNCTION("""COMPUTED_VALUE"""),50)</f>
        <v>50</v>
      </c>
      <c r="E1634" s="76">
        <f ca="1">IFERROR(__xludf.DUMMYFUNCTION("""COMPUTED_VALUE"""),110)</f>
        <v>110</v>
      </c>
      <c r="F1634" s="77">
        <f ca="1">IFERROR(__xludf.DUMMYFUNCTION("""COMPUTED_VALUE"""),10080278)</f>
        <v>10080278</v>
      </c>
      <c r="G1634" s="77" t="str">
        <f t="shared" ca="1" si="6"/>
        <v>si</v>
      </c>
    </row>
    <row r="1635" spans="1:7" ht="12.75" x14ac:dyDescent="0.2">
      <c r="A1635" s="62">
        <f ca="1">IFERROR(__xludf.DUMMYFUNCTION("""COMPUTED_VALUE"""),10080280)</f>
        <v>10080280</v>
      </c>
      <c r="B1635" s="62" t="str">
        <f ca="1">IFERROR(__xludf.DUMMYFUNCTION("""COMPUTED_VALUE"""),"Puerto de Carga Xiaomi note 7 - 7pro")</f>
        <v>Puerto de Carga Xiaomi note 7 - 7pro</v>
      </c>
      <c r="C1635" s="75">
        <f ca="1">IFERROR(__xludf.DUMMYFUNCTION("""COMPUTED_VALUE"""),60)</f>
        <v>60</v>
      </c>
      <c r="D1635" s="75">
        <f ca="1">IFERROR(__xludf.DUMMYFUNCTION("""COMPUTED_VALUE"""),50)</f>
        <v>50</v>
      </c>
      <c r="E1635" s="76">
        <f ca="1">IFERROR(__xludf.DUMMYFUNCTION("""COMPUTED_VALUE"""),110)</f>
        <v>110</v>
      </c>
      <c r="F1635" s="77">
        <f ca="1">IFERROR(__xludf.DUMMYFUNCTION("""COMPUTED_VALUE"""),10080280)</f>
        <v>10080280</v>
      </c>
      <c r="G1635" s="77" t="str">
        <f t="shared" ca="1" si="6"/>
        <v>si</v>
      </c>
    </row>
    <row r="1636" spans="1:7" ht="12.75" x14ac:dyDescent="0.2">
      <c r="A1636" s="62">
        <f ca="1">IFERROR(__xludf.DUMMYFUNCTION("""COMPUTED_VALUE"""),10080281)</f>
        <v>10080281</v>
      </c>
      <c r="B1636" s="62" t="str">
        <f ca="1">IFERROR(__xludf.DUMMYFUNCTION("""COMPUTED_VALUE"""),"Puerto de Carga Xiaomi note 8")</f>
        <v>Puerto de Carga Xiaomi note 8</v>
      </c>
      <c r="C1636" s="75">
        <f ca="1">IFERROR(__xludf.DUMMYFUNCTION("""COMPUTED_VALUE"""),70)</f>
        <v>70</v>
      </c>
      <c r="D1636" s="75">
        <f ca="1">IFERROR(__xludf.DUMMYFUNCTION("""COMPUTED_VALUE"""),50)</f>
        <v>50</v>
      </c>
      <c r="E1636" s="76">
        <f ca="1">IFERROR(__xludf.DUMMYFUNCTION("""COMPUTED_VALUE"""),120)</f>
        <v>120</v>
      </c>
      <c r="F1636" s="77">
        <f ca="1">IFERROR(__xludf.DUMMYFUNCTION("""COMPUTED_VALUE"""),10080281)</f>
        <v>10080281</v>
      </c>
      <c r="G1636" s="77" t="str">
        <f t="shared" ca="1" si="6"/>
        <v>si</v>
      </c>
    </row>
    <row r="1637" spans="1:7" ht="12.75" x14ac:dyDescent="0.2">
      <c r="A1637" s="62">
        <f ca="1">IFERROR(__xludf.DUMMYFUNCTION("""COMPUTED_VALUE"""),10080282)</f>
        <v>10080282</v>
      </c>
      <c r="B1637" s="62" t="str">
        <f ca="1">IFERROR(__xludf.DUMMYFUNCTION("""COMPUTED_VALUE"""),"Puerto de Carga Xiaomi note 8 pro")</f>
        <v>Puerto de Carga Xiaomi note 8 pro</v>
      </c>
      <c r="C1637" s="75">
        <f ca="1">IFERROR(__xludf.DUMMYFUNCTION("""COMPUTED_VALUE"""),70)</f>
        <v>70</v>
      </c>
      <c r="D1637" s="75">
        <f ca="1">IFERROR(__xludf.DUMMYFUNCTION("""COMPUTED_VALUE"""),50)</f>
        <v>50</v>
      </c>
      <c r="E1637" s="76">
        <f ca="1">IFERROR(__xludf.DUMMYFUNCTION("""COMPUTED_VALUE"""),120)</f>
        <v>120</v>
      </c>
      <c r="F1637" s="77">
        <f ca="1">IFERROR(__xludf.DUMMYFUNCTION("""COMPUTED_VALUE"""),10080282)</f>
        <v>10080282</v>
      </c>
      <c r="G1637" s="77" t="str">
        <f t="shared" ca="1" si="6"/>
        <v>si</v>
      </c>
    </row>
    <row r="1638" spans="1:7" ht="12.75" x14ac:dyDescent="0.2">
      <c r="A1638" s="62">
        <f ca="1">IFERROR(__xludf.DUMMYFUNCTION("""COMPUTED_VALUE"""),10080283)</f>
        <v>10080283</v>
      </c>
      <c r="B1638" s="62" t="str">
        <f ca="1">IFERROR(__xludf.DUMMYFUNCTION("""COMPUTED_VALUE"""),"Puerto de Carga Xiaomi note 9")</f>
        <v>Puerto de Carga Xiaomi note 9</v>
      </c>
      <c r="C1638" s="75">
        <f ca="1">IFERROR(__xludf.DUMMYFUNCTION("""COMPUTED_VALUE"""),70)</f>
        <v>70</v>
      </c>
      <c r="D1638" s="75">
        <f ca="1">IFERROR(__xludf.DUMMYFUNCTION("""COMPUTED_VALUE"""),50)</f>
        <v>50</v>
      </c>
      <c r="E1638" s="76">
        <f ca="1">IFERROR(__xludf.DUMMYFUNCTION("""COMPUTED_VALUE"""),120)</f>
        <v>120</v>
      </c>
      <c r="F1638" s="77">
        <f ca="1">IFERROR(__xludf.DUMMYFUNCTION("""COMPUTED_VALUE"""),10080283)</f>
        <v>10080283</v>
      </c>
      <c r="G1638" s="77" t="str">
        <f t="shared" ca="1" si="6"/>
        <v>si</v>
      </c>
    </row>
    <row r="1639" spans="1:7" ht="12.75" x14ac:dyDescent="0.2">
      <c r="A1639" s="62">
        <f ca="1">IFERROR(__xludf.DUMMYFUNCTION("""COMPUTED_VALUE"""),10080284)</f>
        <v>10080284</v>
      </c>
      <c r="B1639" s="62" t="str">
        <f ca="1">IFERROR(__xludf.DUMMYFUNCTION("""COMPUTED_VALUE"""),"Puerto de Carga Xiaomi note 9s - 9  pro")</f>
        <v>Puerto de Carga Xiaomi note 9s - 9  pro</v>
      </c>
      <c r="C1639" s="75">
        <f ca="1">IFERROR(__xludf.DUMMYFUNCTION("""COMPUTED_VALUE"""),70)</f>
        <v>70</v>
      </c>
      <c r="D1639" s="75">
        <f ca="1">IFERROR(__xludf.DUMMYFUNCTION("""COMPUTED_VALUE"""),50)</f>
        <v>50</v>
      </c>
      <c r="E1639" s="76">
        <f ca="1">IFERROR(__xludf.DUMMYFUNCTION("""COMPUTED_VALUE"""),120)</f>
        <v>120</v>
      </c>
      <c r="F1639" s="77">
        <f ca="1">IFERROR(__xludf.DUMMYFUNCTION("""COMPUTED_VALUE"""),10080284)</f>
        <v>10080284</v>
      </c>
      <c r="G1639" s="77" t="str">
        <f t="shared" ca="1" si="6"/>
        <v>si</v>
      </c>
    </row>
    <row r="1640" spans="1:7" ht="12.75" x14ac:dyDescent="0.2">
      <c r="A1640" s="62">
        <f ca="1">IFERROR(__xludf.DUMMYFUNCTION("""COMPUTED_VALUE"""),10080285)</f>
        <v>10080285</v>
      </c>
      <c r="B1640" s="62" t="str">
        <f ca="1">IFERROR(__xludf.DUMMYFUNCTION("""COMPUTED_VALUE"""),"Puerto de Carga Xiaomi redmi 7")</f>
        <v>Puerto de Carga Xiaomi redmi 7</v>
      </c>
      <c r="C1640" s="75">
        <f ca="1">IFERROR(__xludf.DUMMYFUNCTION("""COMPUTED_VALUE"""),60)</f>
        <v>60</v>
      </c>
      <c r="D1640" s="75">
        <f ca="1">IFERROR(__xludf.DUMMYFUNCTION("""COMPUTED_VALUE"""),50)</f>
        <v>50</v>
      </c>
      <c r="E1640" s="76">
        <f ca="1">IFERROR(__xludf.DUMMYFUNCTION("""COMPUTED_VALUE"""),110)</f>
        <v>110</v>
      </c>
      <c r="F1640" s="77">
        <f ca="1">IFERROR(__xludf.DUMMYFUNCTION("""COMPUTED_VALUE"""),10080285)</f>
        <v>10080285</v>
      </c>
      <c r="G1640" s="77" t="str">
        <f t="shared" ca="1" si="6"/>
        <v>si</v>
      </c>
    </row>
    <row r="1641" spans="1:7" ht="12.75" x14ac:dyDescent="0.2">
      <c r="A1641" s="62">
        <f ca="1">IFERROR(__xludf.DUMMYFUNCTION("""COMPUTED_VALUE"""),10080286)</f>
        <v>10080286</v>
      </c>
      <c r="B1641" s="62" t="str">
        <f ca="1">IFERROR(__xludf.DUMMYFUNCTION("""COMPUTED_VALUE"""),"Puerto de Carga Xiaomi redmi 7a")</f>
        <v>Puerto de Carga Xiaomi redmi 7a</v>
      </c>
      <c r="C1641" s="75">
        <f ca="1">IFERROR(__xludf.DUMMYFUNCTION("""COMPUTED_VALUE"""),60)</f>
        <v>60</v>
      </c>
      <c r="D1641" s="75">
        <f ca="1">IFERROR(__xludf.DUMMYFUNCTION("""COMPUTED_VALUE"""),50)</f>
        <v>50</v>
      </c>
      <c r="E1641" s="76">
        <f ca="1">IFERROR(__xludf.DUMMYFUNCTION("""COMPUTED_VALUE"""),110)</f>
        <v>110</v>
      </c>
      <c r="F1641" s="77">
        <f ca="1">IFERROR(__xludf.DUMMYFUNCTION("""COMPUTED_VALUE"""),10080286)</f>
        <v>10080286</v>
      </c>
      <c r="G1641" s="77" t="str">
        <f t="shared" ca="1" si="6"/>
        <v>si</v>
      </c>
    </row>
    <row r="1642" spans="1:7" ht="12.75" x14ac:dyDescent="0.2">
      <c r="A1642" s="62">
        <f ca="1">IFERROR(__xludf.DUMMYFUNCTION("""COMPUTED_VALUE"""),10080287)</f>
        <v>10080287</v>
      </c>
      <c r="B1642" s="62" t="str">
        <f ca="1">IFERROR(__xludf.DUMMYFUNCTION("""COMPUTED_VALUE"""),"Puerto de Carga Xiaomi redmi 8-8a")</f>
        <v>Puerto de Carga Xiaomi redmi 8-8a</v>
      </c>
      <c r="C1642" s="75">
        <f ca="1">IFERROR(__xludf.DUMMYFUNCTION("""COMPUTED_VALUE"""),60)</f>
        <v>60</v>
      </c>
      <c r="D1642" s="75">
        <f ca="1">IFERROR(__xludf.DUMMYFUNCTION("""COMPUTED_VALUE"""),50)</f>
        <v>50</v>
      </c>
      <c r="E1642" s="76">
        <f ca="1">IFERROR(__xludf.DUMMYFUNCTION("""COMPUTED_VALUE"""),110)</f>
        <v>110</v>
      </c>
      <c r="F1642" s="77">
        <f ca="1">IFERROR(__xludf.DUMMYFUNCTION("""COMPUTED_VALUE"""),10080287)</f>
        <v>10080287</v>
      </c>
      <c r="G1642" s="77" t="str">
        <f t="shared" ca="1" si="6"/>
        <v>si</v>
      </c>
    </row>
    <row r="1643" spans="1:7" ht="12.75" x14ac:dyDescent="0.2">
      <c r="A1643" s="62">
        <f ca="1">IFERROR(__xludf.DUMMYFUNCTION("""COMPUTED_VALUE"""),10080107)</f>
        <v>10080107</v>
      </c>
      <c r="B1643" s="62" t="str">
        <f ca="1">IFERROR(__xludf.DUMMYFUNCTION("""COMPUTED_VALUE"""),"Puerto de Carga Xiaomi Redmi 9 ")</f>
        <v xml:space="preserve">Puerto de Carga Xiaomi Redmi 9 </v>
      </c>
      <c r="C1643" s="75">
        <f ca="1">IFERROR(__xludf.DUMMYFUNCTION("""COMPUTED_VALUE"""),65)</f>
        <v>65</v>
      </c>
      <c r="D1643" s="75">
        <f ca="1">IFERROR(__xludf.DUMMYFUNCTION("""COMPUTED_VALUE"""),50)</f>
        <v>50</v>
      </c>
      <c r="E1643" s="76">
        <f ca="1">IFERROR(__xludf.DUMMYFUNCTION("""COMPUTED_VALUE"""),115)</f>
        <v>115</v>
      </c>
      <c r="F1643" s="77">
        <f ca="1">IFERROR(__xludf.DUMMYFUNCTION("""COMPUTED_VALUE"""),10080107)</f>
        <v>10080107</v>
      </c>
      <c r="G1643" s="77" t="str">
        <f t="shared" ca="1" si="6"/>
        <v>si</v>
      </c>
    </row>
    <row r="1644" spans="1:7" ht="12.75" x14ac:dyDescent="0.2">
      <c r="A1644" s="62">
        <f ca="1">IFERROR(__xludf.DUMMYFUNCTION("""COMPUTED_VALUE"""),10160229)</f>
        <v>10160229</v>
      </c>
      <c r="B1644" s="62" t="str">
        <f ca="1">IFERROR(__xludf.DUMMYFUNCTION("""COMPUTED_VALUE"""),"Puerto de Carga Xiaomi PocoPhone F2")</f>
        <v>Puerto de Carga Xiaomi PocoPhone F2</v>
      </c>
      <c r="C1644" s="75">
        <f ca="1">IFERROR(__xludf.DUMMYFUNCTION("""COMPUTED_VALUE"""),51)</f>
        <v>51</v>
      </c>
      <c r="D1644" s="75">
        <f ca="1">IFERROR(__xludf.DUMMYFUNCTION("""COMPUTED_VALUE"""),50)</f>
        <v>50</v>
      </c>
      <c r="E1644" s="76">
        <f ca="1">IFERROR(__xludf.DUMMYFUNCTION("""COMPUTED_VALUE"""),101)</f>
        <v>101</v>
      </c>
      <c r="F1644" s="77">
        <f ca="1">IFERROR(__xludf.DUMMYFUNCTION("""COMPUTED_VALUE"""),10160229)</f>
        <v>10160229</v>
      </c>
      <c r="G1644" s="77" t="str">
        <f t="shared" ca="1" si="6"/>
        <v>si</v>
      </c>
    </row>
    <row r="1645" spans="1:7" ht="12.75" x14ac:dyDescent="0.2">
      <c r="A1645" s="62">
        <f ca="1">IFERROR(__xludf.DUMMYFUNCTION("""COMPUTED_VALUE"""),10160230)</f>
        <v>10160230</v>
      </c>
      <c r="B1645" s="62" t="str">
        <f ca="1">IFERROR(__xludf.DUMMYFUNCTION("""COMPUTED_VALUE"""),"Puerto de Carga Xiaomi  PocoPhone F2 Pro")</f>
        <v>Puerto de Carga Xiaomi  PocoPhone F2 Pro</v>
      </c>
      <c r="C1645" s="75">
        <f ca="1">IFERROR(__xludf.DUMMYFUNCTION("""COMPUTED_VALUE"""),52)</f>
        <v>52</v>
      </c>
      <c r="D1645" s="75">
        <f ca="1">IFERROR(__xludf.DUMMYFUNCTION("""COMPUTED_VALUE"""),50)</f>
        <v>50</v>
      </c>
      <c r="E1645" s="76">
        <f ca="1">IFERROR(__xludf.DUMMYFUNCTION("""COMPUTED_VALUE"""),102)</f>
        <v>102</v>
      </c>
      <c r="F1645" s="77">
        <f ca="1">IFERROR(__xludf.DUMMYFUNCTION("""COMPUTED_VALUE"""),10160230)</f>
        <v>10160230</v>
      </c>
      <c r="G1645" s="77" t="str">
        <f t="shared" ca="1" si="6"/>
        <v>si</v>
      </c>
    </row>
    <row r="1646" spans="1:7" ht="12.75" x14ac:dyDescent="0.2">
      <c r="A1646" s="62">
        <f ca="1">IFERROR(__xludf.DUMMYFUNCTION("""COMPUTED_VALUE"""),10160231)</f>
        <v>10160231</v>
      </c>
      <c r="B1646" s="62" t="str">
        <f ca="1">IFERROR(__xludf.DUMMYFUNCTION("""COMPUTED_VALUE"""),"Puerto de Carga Xiaomi  Poco X3 - X3 Pro")</f>
        <v>Puerto de Carga Xiaomi  Poco X3 - X3 Pro</v>
      </c>
      <c r="C1646" s="75">
        <f ca="1">IFERROR(__xludf.DUMMYFUNCTION("""COMPUTED_VALUE"""),70)</f>
        <v>70</v>
      </c>
      <c r="D1646" s="75">
        <f ca="1">IFERROR(__xludf.DUMMYFUNCTION("""COMPUTED_VALUE"""),50)</f>
        <v>50</v>
      </c>
      <c r="E1646" s="76">
        <f ca="1">IFERROR(__xludf.DUMMYFUNCTION("""COMPUTED_VALUE"""),120)</f>
        <v>120</v>
      </c>
      <c r="F1646" s="77">
        <f ca="1">IFERROR(__xludf.DUMMYFUNCTION("""COMPUTED_VALUE"""),10160231)</f>
        <v>10160231</v>
      </c>
      <c r="G1646" s="77" t="str">
        <f t="shared" ca="1" si="6"/>
        <v>si</v>
      </c>
    </row>
    <row r="1647" spans="1:7" ht="12.75" x14ac:dyDescent="0.2">
      <c r="A1647" s="62">
        <f ca="1">IFERROR(__xludf.DUMMYFUNCTION("""COMPUTED_VALUE"""),10160232)</f>
        <v>10160232</v>
      </c>
      <c r="B1647" s="62" t="str">
        <f ca="1">IFERROR(__xludf.DUMMYFUNCTION("""COMPUTED_VALUE"""),"Puerto de Carga Xiaomi Note 9T - 5G")</f>
        <v>Puerto de Carga Xiaomi Note 9T - 5G</v>
      </c>
      <c r="C1647" s="75">
        <f ca="1">IFERROR(__xludf.DUMMYFUNCTION("""COMPUTED_VALUE"""),70)</f>
        <v>70</v>
      </c>
      <c r="D1647" s="75">
        <f ca="1">IFERROR(__xludf.DUMMYFUNCTION("""COMPUTED_VALUE"""),50)</f>
        <v>50</v>
      </c>
      <c r="E1647" s="76">
        <f ca="1">IFERROR(__xludf.DUMMYFUNCTION("""COMPUTED_VALUE"""),120)</f>
        <v>120</v>
      </c>
      <c r="F1647" s="77">
        <f ca="1">IFERROR(__xludf.DUMMYFUNCTION("""COMPUTED_VALUE"""),10160232)</f>
        <v>10160232</v>
      </c>
      <c r="G1647" s="77" t="str">
        <f t="shared" ca="1" si="6"/>
        <v>si</v>
      </c>
    </row>
    <row r="1648" spans="1:7" ht="12.75" x14ac:dyDescent="0.2">
      <c r="A1648" s="62">
        <f ca="1">IFERROR(__xludf.DUMMYFUNCTION("""COMPUTED_VALUE"""),10160233)</f>
        <v>10160233</v>
      </c>
      <c r="B1648" s="62" t="str">
        <f ca="1">IFERROR(__xludf.DUMMYFUNCTION("""COMPUTED_VALUE"""),"Puerto de Carga Xiaomi Redmi Note 10s / Note 10 - 4G")</f>
        <v>Puerto de Carga Xiaomi Redmi Note 10s / Note 10 - 4G</v>
      </c>
      <c r="C1648" s="75">
        <f ca="1">IFERROR(__xludf.DUMMYFUNCTION("""COMPUTED_VALUE"""),70)</f>
        <v>70</v>
      </c>
      <c r="D1648" s="75">
        <f ca="1">IFERROR(__xludf.DUMMYFUNCTION("""COMPUTED_VALUE"""),50)</f>
        <v>50</v>
      </c>
      <c r="E1648" s="76">
        <f ca="1">IFERROR(__xludf.DUMMYFUNCTION("""COMPUTED_VALUE"""),120)</f>
        <v>120</v>
      </c>
      <c r="F1648" s="77">
        <f ca="1">IFERROR(__xludf.DUMMYFUNCTION("""COMPUTED_VALUE"""),10160233)</f>
        <v>10160233</v>
      </c>
      <c r="G1648" s="77" t="str">
        <f t="shared" ca="1" si="6"/>
        <v>si</v>
      </c>
    </row>
    <row r="1649" spans="1:7" ht="12.75" x14ac:dyDescent="0.2">
      <c r="A1649" s="62">
        <f ca="1">IFERROR(__xludf.DUMMYFUNCTION("""COMPUTED_VALUE"""),10160234)</f>
        <v>10160234</v>
      </c>
      <c r="B1649" s="62" t="str">
        <f ca="1">IFERROR(__xludf.DUMMYFUNCTION("""COMPUTED_VALUE"""),"Puerto de Carga Xiaomi MI Note 10 Pro /Note 10 / Note 10 lite")</f>
        <v>Puerto de Carga Xiaomi MI Note 10 Pro /Note 10 / Note 10 lite</v>
      </c>
      <c r="C1649" s="75">
        <f ca="1">IFERROR(__xludf.DUMMYFUNCTION("""COMPUTED_VALUE"""),70)</f>
        <v>70</v>
      </c>
      <c r="D1649" s="75">
        <f ca="1">IFERROR(__xludf.DUMMYFUNCTION("""COMPUTED_VALUE"""),50)</f>
        <v>50</v>
      </c>
      <c r="E1649" s="76">
        <f ca="1">IFERROR(__xludf.DUMMYFUNCTION("""COMPUTED_VALUE"""),120)</f>
        <v>120</v>
      </c>
      <c r="F1649" s="77">
        <f ca="1">IFERROR(__xludf.DUMMYFUNCTION("""COMPUTED_VALUE"""),10160234)</f>
        <v>10160234</v>
      </c>
      <c r="G1649" s="77" t="str">
        <f t="shared" ca="1" si="6"/>
        <v>si</v>
      </c>
    </row>
    <row r="1650" spans="1:7" ht="12.75" x14ac:dyDescent="0.2">
      <c r="A1650" s="62">
        <f ca="1">IFERROR(__xludf.DUMMYFUNCTION("""COMPUTED_VALUE"""),10160235)</f>
        <v>10160235</v>
      </c>
      <c r="B1650" s="62" t="str">
        <f ca="1">IFERROR(__xludf.DUMMYFUNCTION("""COMPUTED_VALUE"""),"Puerto de Carga Xiaomi  Redmi 9A - 9C")</f>
        <v>Puerto de Carga Xiaomi  Redmi 9A - 9C</v>
      </c>
      <c r="C1650" s="75">
        <f ca="1">IFERROR(__xludf.DUMMYFUNCTION("""COMPUTED_VALUE"""),70)</f>
        <v>70</v>
      </c>
      <c r="D1650" s="75">
        <f ca="1">IFERROR(__xludf.DUMMYFUNCTION("""COMPUTED_VALUE"""),50)</f>
        <v>50</v>
      </c>
      <c r="E1650" s="76">
        <f ca="1">IFERROR(__xludf.DUMMYFUNCTION("""COMPUTED_VALUE"""),120)</f>
        <v>120</v>
      </c>
      <c r="F1650" s="77">
        <f ca="1">IFERROR(__xludf.DUMMYFUNCTION("""COMPUTED_VALUE"""),10160235)</f>
        <v>10160235</v>
      </c>
      <c r="G1650" s="77" t="str">
        <f t="shared" ca="1" si="6"/>
        <v>si</v>
      </c>
    </row>
    <row r="1651" spans="1:7" ht="12.75" x14ac:dyDescent="0.2">
      <c r="A1651" s="62">
        <f ca="1">IFERROR(__xludf.DUMMYFUNCTION("""COMPUTED_VALUE"""),10160236)</f>
        <v>10160236</v>
      </c>
      <c r="B1651" s="62" t="str">
        <f ca="1">IFERROR(__xludf.DUMMYFUNCTION("""COMPUTED_VALUE"""),"Puerto de Carga Xiaomi  Redmi 9T")</f>
        <v>Puerto de Carga Xiaomi  Redmi 9T</v>
      </c>
      <c r="C1651" s="75">
        <f ca="1">IFERROR(__xludf.DUMMYFUNCTION("""COMPUTED_VALUE"""),70)</f>
        <v>70</v>
      </c>
      <c r="D1651" s="75">
        <f ca="1">IFERROR(__xludf.DUMMYFUNCTION("""COMPUTED_VALUE"""),50)</f>
        <v>50</v>
      </c>
      <c r="E1651" s="76">
        <f ca="1">IFERROR(__xludf.DUMMYFUNCTION("""COMPUTED_VALUE"""),120)</f>
        <v>120</v>
      </c>
      <c r="F1651" s="77">
        <f ca="1">IFERROR(__xludf.DUMMYFUNCTION("""COMPUTED_VALUE"""),10160236)</f>
        <v>10160236</v>
      </c>
      <c r="G1651" s="77" t="str">
        <f t="shared" ca="1" si="6"/>
        <v>si</v>
      </c>
    </row>
    <row r="1652" spans="1:7" ht="12.75" x14ac:dyDescent="0.2">
      <c r="A1652" s="62">
        <f ca="1">IFERROR(__xludf.DUMMYFUNCTION("""COMPUTED_VALUE"""),10160237)</f>
        <v>10160237</v>
      </c>
      <c r="B1652" s="62" t="str">
        <f ca="1">IFERROR(__xludf.DUMMYFUNCTION("""COMPUTED_VALUE"""),"Puerto de Carga Xiaomi  Redmi 10")</f>
        <v>Puerto de Carga Xiaomi  Redmi 10</v>
      </c>
      <c r="C1652" s="75">
        <f ca="1">IFERROR(__xludf.DUMMYFUNCTION("""COMPUTED_VALUE"""),70)</f>
        <v>70</v>
      </c>
      <c r="D1652" s="75">
        <f ca="1">IFERROR(__xludf.DUMMYFUNCTION("""COMPUTED_VALUE"""),50)</f>
        <v>50</v>
      </c>
      <c r="E1652" s="76">
        <f ca="1">IFERROR(__xludf.DUMMYFUNCTION("""COMPUTED_VALUE"""),120)</f>
        <v>120</v>
      </c>
      <c r="F1652" s="77">
        <f ca="1">IFERROR(__xludf.DUMMYFUNCTION("""COMPUTED_VALUE"""),10160237)</f>
        <v>10160237</v>
      </c>
      <c r="G1652" s="77" t="str">
        <f t="shared" ca="1" si="6"/>
        <v>si</v>
      </c>
    </row>
    <row r="1653" spans="1:7" ht="12.75" x14ac:dyDescent="0.2">
      <c r="A1653" s="62">
        <f ca="1">IFERROR(__xludf.DUMMYFUNCTION("""COMPUTED_VALUE"""),10160238)</f>
        <v>10160238</v>
      </c>
      <c r="B1653" s="62" t="str">
        <f ca="1">IFERROR(__xludf.DUMMYFUNCTION("""COMPUTED_VALUE"""),"Puerto de Carga Xiaomi  Redmi Note 10 Pro - 4G")</f>
        <v>Puerto de Carga Xiaomi  Redmi Note 10 Pro - 4G</v>
      </c>
      <c r="C1653" s="75">
        <f ca="1">IFERROR(__xludf.DUMMYFUNCTION("""COMPUTED_VALUE"""),70)</f>
        <v>70</v>
      </c>
      <c r="D1653" s="75">
        <f ca="1">IFERROR(__xludf.DUMMYFUNCTION("""COMPUTED_VALUE"""),50)</f>
        <v>50</v>
      </c>
      <c r="E1653" s="76">
        <f ca="1">IFERROR(__xludf.DUMMYFUNCTION("""COMPUTED_VALUE"""),120)</f>
        <v>120</v>
      </c>
      <c r="F1653" s="77">
        <f ca="1">IFERROR(__xludf.DUMMYFUNCTION("""COMPUTED_VALUE"""),10160238)</f>
        <v>10160238</v>
      </c>
      <c r="G1653" s="77" t="str">
        <f t="shared" ca="1" si="6"/>
        <v>si</v>
      </c>
    </row>
    <row r="1654" spans="1:7" ht="12.75" x14ac:dyDescent="0.2">
      <c r="A1654" s="62">
        <f ca="1">IFERROR(__xludf.DUMMYFUNCTION("""COMPUTED_VALUE"""),10160239)</f>
        <v>10160239</v>
      </c>
      <c r="B1654" s="62" t="str">
        <f ca="1">IFERROR(__xludf.DUMMYFUNCTION("""COMPUTED_VALUE"""),"Puerto de Carga Xiaomi  Mi 9 ")</f>
        <v xml:space="preserve">Puerto de Carga Xiaomi  Mi 9 </v>
      </c>
      <c r="C1654" s="75">
        <f ca="1">IFERROR(__xludf.DUMMYFUNCTION("""COMPUTED_VALUE"""),70)</f>
        <v>70</v>
      </c>
      <c r="D1654" s="75">
        <f ca="1">IFERROR(__xludf.DUMMYFUNCTION("""COMPUTED_VALUE"""),50)</f>
        <v>50</v>
      </c>
      <c r="E1654" s="76">
        <f ca="1">IFERROR(__xludf.DUMMYFUNCTION("""COMPUTED_VALUE"""),120)</f>
        <v>120</v>
      </c>
      <c r="F1654" s="77">
        <f ca="1">IFERROR(__xludf.DUMMYFUNCTION("""COMPUTED_VALUE"""),10160239)</f>
        <v>10160239</v>
      </c>
      <c r="G1654" s="77" t="str">
        <f t="shared" ca="1" si="6"/>
        <v>si</v>
      </c>
    </row>
    <row r="1655" spans="1:7" ht="12.75" x14ac:dyDescent="0.2">
      <c r="A1655" s="62">
        <f ca="1">IFERROR(__xludf.DUMMYFUNCTION("""COMPUTED_VALUE"""),10160240)</f>
        <v>10160240</v>
      </c>
      <c r="B1655" s="62" t="str">
        <f ca="1">IFERROR(__xludf.DUMMYFUNCTION("""COMPUTED_VALUE"""),"Puerto de Carga Xiaomi  Mi 9SE")</f>
        <v>Puerto de Carga Xiaomi  Mi 9SE</v>
      </c>
      <c r="C1655" s="75">
        <f ca="1">IFERROR(__xludf.DUMMYFUNCTION("""COMPUTED_VALUE"""),90)</f>
        <v>90</v>
      </c>
      <c r="D1655" s="75">
        <f ca="1">IFERROR(__xludf.DUMMYFUNCTION("""COMPUTED_VALUE"""),50)</f>
        <v>50</v>
      </c>
      <c r="E1655" s="76">
        <f ca="1">IFERROR(__xludf.DUMMYFUNCTION("""COMPUTED_VALUE"""),140)</f>
        <v>140</v>
      </c>
      <c r="F1655" s="77">
        <f ca="1">IFERROR(__xludf.DUMMYFUNCTION("""COMPUTED_VALUE"""),10160240)</f>
        <v>10160240</v>
      </c>
      <c r="G1655" s="77" t="str">
        <f t="shared" ca="1" si="6"/>
        <v>si</v>
      </c>
    </row>
    <row r="1656" spans="1:7" ht="12.75" x14ac:dyDescent="0.2">
      <c r="A1656" s="62">
        <f ca="1">IFERROR(__xludf.DUMMYFUNCTION("""COMPUTED_VALUE"""),10160241)</f>
        <v>10160241</v>
      </c>
      <c r="B1656" s="62" t="str">
        <f ca="1">IFERROR(__xludf.DUMMYFUNCTION("""COMPUTED_VALUE"""),"Puerto de Carga Xiaomi Mi 10T /  Mi 10T Pro")</f>
        <v>Puerto de Carga Xiaomi Mi 10T /  Mi 10T Pro</v>
      </c>
      <c r="C1656" s="75">
        <f ca="1">IFERROR(__xludf.DUMMYFUNCTION("""COMPUTED_VALUE"""),70)</f>
        <v>70</v>
      </c>
      <c r="D1656" s="75">
        <f ca="1">IFERROR(__xludf.DUMMYFUNCTION("""COMPUTED_VALUE"""),50)</f>
        <v>50</v>
      </c>
      <c r="E1656" s="76">
        <f ca="1">IFERROR(__xludf.DUMMYFUNCTION("""COMPUTED_VALUE"""),120)</f>
        <v>120</v>
      </c>
      <c r="F1656" s="77">
        <f ca="1">IFERROR(__xludf.DUMMYFUNCTION("""COMPUTED_VALUE"""),10160241)</f>
        <v>10160241</v>
      </c>
      <c r="G1656" s="77" t="str">
        <f t="shared" ca="1" si="6"/>
        <v>si</v>
      </c>
    </row>
    <row r="1657" spans="1:7" ht="12.75" x14ac:dyDescent="0.2">
      <c r="A1657" s="62">
        <f ca="1">IFERROR(__xludf.DUMMYFUNCTION("""COMPUTED_VALUE"""),10160242)</f>
        <v>10160242</v>
      </c>
      <c r="B1657" s="62" t="str">
        <f ca="1">IFERROR(__xludf.DUMMYFUNCTION("""COMPUTED_VALUE"""),"Puerto de Carga Xiaomi  Mi 11")</f>
        <v>Puerto de Carga Xiaomi  Mi 11</v>
      </c>
      <c r="C1657" s="75">
        <f ca="1">IFERROR(__xludf.DUMMYFUNCTION("""COMPUTED_VALUE"""),70)</f>
        <v>70</v>
      </c>
      <c r="D1657" s="75">
        <f ca="1">IFERROR(__xludf.DUMMYFUNCTION("""COMPUTED_VALUE"""),50)</f>
        <v>50</v>
      </c>
      <c r="E1657" s="76">
        <f ca="1">IFERROR(__xludf.DUMMYFUNCTION("""COMPUTED_VALUE"""),120)</f>
        <v>120</v>
      </c>
      <c r="F1657" s="77">
        <f ca="1">IFERROR(__xludf.DUMMYFUNCTION("""COMPUTED_VALUE"""),10160242)</f>
        <v>10160242</v>
      </c>
      <c r="G1657" s="77" t="str">
        <f t="shared" ca="1" si="6"/>
        <v>si</v>
      </c>
    </row>
    <row r="1658" spans="1:7" ht="12.75" x14ac:dyDescent="0.2">
      <c r="A1658" s="62">
        <f ca="1">IFERROR(__xludf.DUMMYFUNCTION("""COMPUTED_VALUE"""),10160243)</f>
        <v>10160243</v>
      </c>
      <c r="B1658" s="62" t="str">
        <f ca="1">IFERROR(__xludf.DUMMYFUNCTION("""COMPUTED_VALUE"""),"Puerto de Carga Xiaomi  Mi 11 Lite")</f>
        <v>Puerto de Carga Xiaomi  Mi 11 Lite</v>
      </c>
      <c r="C1658" s="75">
        <f ca="1">IFERROR(__xludf.DUMMYFUNCTION("""COMPUTED_VALUE"""),70)</f>
        <v>70</v>
      </c>
      <c r="D1658" s="75">
        <f ca="1">IFERROR(__xludf.DUMMYFUNCTION("""COMPUTED_VALUE"""),50)</f>
        <v>50</v>
      </c>
      <c r="E1658" s="76">
        <f ca="1">IFERROR(__xludf.DUMMYFUNCTION("""COMPUTED_VALUE"""),120)</f>
        <v>120</v>
      </c>
      <c r="F1658" s="77">
        <f ca="1">IFERROR(__xludf.DUMMYFUNCTION("""COMPUTED_VALUE"""),10160243)</f>
        <v>10160243</v>
      </c>
      <c r="G1658" s="77" t="str">
        <f t="shared" ca="1" si="6"/>
        <v>si</v>
      </c>
    </row>
    <row r="1659" spans="1:7" ht="12.75" x14ac:dyDescent="0.2">
      <c r="A1659" s="62">
        <f ca="1">IFERROR(__xludf.DUMMYFUNCTION("""COMPUTED_VALUE"""),10160226)</f>
        <v>10160226</v>
      </c>
      <c r="B1659" s="62" t="str">
        <f ca="1">IFERROR(__xludf.DUMMYFUNCTION("""COMPUTED_VALUE"""),"Puerto de Carga Xiaomi  Mi 9 Lite")</f>
        <v>Puerto de Carga Xiaomi  Mi 9 Lite</v>
      </c>
      <c r="C1659" s="75">
        <f ca="1">IFERROR(__xludf.DUMMYFUNCTION("""COMPUTED_VALUE"""),90)</f>
        <v>90</v>
      </c>
      <c r="D1659" s="75">
        <f ca="1">IFERROR(__xludf.DUMMYFUNCTION("""COMPUTED_VALUE"""),50)</f>
        <v>50</v>
      </c>
      <c r="E1659" s="76">
        <f ca="1">IFERROR(__xludf.DUMMYFUNCTION("""COMPUTED_VALUE"""),140)</f>
        <v>140</v>
      </c>
      <c r="F1659" s="77">
        <f ca="1">IFERROR(__xludf.DUMMYFUNCTION("""COMPUTED_VALUE"""),10160226)</f>
        <v>10160226</v>
      </c>
      <c r="G1659" s="77" t="str">
        <f t="shared" ca="1" si="6"/>
        <v>si</v>
      </c>
    </row>
    <row r="1660" spans="1:7" ht="12.75" x14ac:dyDescent="0.2">
      <c r="A1660" s="62">
        <f ca="1">IFERROR(__xludf.DUMMYFUNCTION("""COMPUTED_VALUE"""),10160227)</f>
        <v>10160227</v>
      </c>
      <c r="B1660" s="62" t="str">
        <f ca="1">IFERROR(__xludf.DUMMYFUNCTION("""COMPUTED_VALUE"""),"Puerto de Carga Xiaomi  Poco M3")</f>
        <v>Puerto de Carga Xiaomi  Poco M3</v>
      </c>
      <c r="C1660" s="75">
        <f ca="1">IFERROR(__xludf.DUMMYFUNCTION("""COMPUTED_VALUE"""),70)</f>
        <v>70</v>
      </c>
      <c r="D1660" s="75">
        <f ca="1">IFERROR(__xludf.DUMMYFUNCTION("""COMPUTED_VALUE"""),50)</f>
        <v>50</v>
      </c>
      <c r="E1660" s="76">
        <f ca="1">IFERROR(__xludf.DUMMYFUNCTION("""COMPUTED_VALUE"""),120)</f>
        <v>120</v>
      </c>
      <c r="F1660" s="77">
        <f ca="1">IFERROR(__xludf.DUMMYFUNCTION("""COMPUTED_VALUE"""),10160227)</f>
        <v>10160227</v>
      </c>
      <c r="G1660" s="77" t="str">
        <f t="shared" ca="1" si="6"/>
        <v>si</v>
      </c>
    </row>
    <row r="1661" spans="1:7" ht="12.75" x14ac:dyDescent="0.2">
      <c r="A1661" s="62">
        <f ca="1">IFERROR(__xludf.DUMMYFUNCTION("""COMPUTED_VALUE"""),10160228)</f>
        <v>10160228</v>
      </c>
      <c r="B1661" s="62" t="str">
        <f ca="1">IFERROR(__xludf.DUMMYFUNCTION("""COMPUTED_VALUE"""),"Puerto de Carga Xiaomi  Mi A3")</f>
        <v>Puerto de Carga Xiaomi  Mi A3</v>
      </c>
      <c r="C1661" s="75">
        <f ca="1">IFERROR(__xludf.DUMMYFUNCTION("""COMPUTED_VALUE"""),70)</f>
        <v>70</v>
      </c>
      <c r="D1661" s="75">
        <f ca="1">IFERROR(__xludf.DUMMYFUNCTION("""COMPUTED_VALUE"""),50)</f>
        <v>50</v>
      </c>
      <c r="E1661" s="76">
        <f ca="1">IFERROR(__xludf.DUMMYFUNCTION("""COMPUTED_VALUE"""),120)</f>
        <v>120</v>
      </c>
      <c r="F1661" s="77">
        <f ca="1">IFERROR(__xludf.DUMMYFUNCTION("""COMPUTED_VALUE"""),10160228)</f>
        <v>10160228</v>
      </c>
      <c r="G1661" s="77" t="str">
        <f t="shared" ca="1" si="6"/>
        <v>si</v>
      </c>
    </row>
    <row r="1662" spans="1:7" ht="12.75" x14ac:dyDescent="0.2">
      <c r="A1662" s="62">
        <f ca="1">IFERROR(__xludf.DUMMYFUNCTION("""COMPUTED_VALUE"""),10080169)</f>
        <v>10080169</v>
      </c>
      <c r="B1662" s="62" t="str">
        <f ca="1">IFERROR(__xludf.DUMMYFUNCTION("""COMPUTED_VALUE"""),"Camara Glass Lens  Samsung S20 Fe Black")</f>
        <v>Camara Glass Lens  Samsung S20 Fe Black</v>
      </c>
      <c r="C1662" s="75">
        <f ca="1">IFERROR(__xludf.DUMMYFUNCTION("""COMPUTED_VALUE"""),55)</f>
        <v>55</v>
      </c>
      <c r="D1662" s="75">
        <f ca="1">IFERROR(__xludf.DUMMYFUNCTION("""COMPUTED_VALUE"""),50)</f>
        <v>50</v>
      </c>
      <c r="E1662" s="76">
        <f ca="1">IFERROR(__xludf.DUMMYFUNCTION("""COMPUTED_VALUE"""),105)</f>
        <v>105</v>
      </c>
      <c r="F1662" s="77">
        <f ca="1">IFERROR(__xludf.DUMMYFUNCTION("""COMPUTED_VALUE"""),10080169)</f>
        <v>10080169</v>
      </c>
      <c r="G1662" s="77" t="str">
        <f t="shared" ca="1" si="6"/>
        <v>si</v>
      </c>
    </row>
    <row r="1663" spans="1:7" ht="12.75" x14ac:dyDescent="0.2">
      <c r="A1663" s="62">
        <f ca="1">IFERROR(__xludf.DUMMYFUNCTION("""COMPUTED_VALUE"""),10080194)</f>
        <v>10080194</v>
      </c>
      <c r="B1663" s="62" t="str">
        <f ca="1">IFERROR(__xludf.DUMMYFUNCTION("""COMPUTED_VALUE"""),"Camara Glass Lens iphone 11")</f>
        <v>Camara Glass Lens iphone 11</v>
      </c>
      <c r="C1663" s="75">
        <f ca="1">IFERROR(__xludf.DUMMYFUNCTION("""COMPUTED_VALUE"""),60)</f>
        <v>60</v>
      </c>
      <c r="D1663" s="75">
        <f ca="1">IFERROR(__xludf.DUMMYFUNCTION("""COMPUTED_VALUE"""),50)</f>
        <v>50</v>
      </c>
      <c r="E1663" s="76">
        <f ca="1">IFERROR(__xludf.DUMMYFUNCTION("""COMPUTED_VALUE"""),110)</f>
        <v>110</v>
      </c>
      <c r="F1663" s="77">
        <f ca="1">IFERROR(__xludf.DUMMYFUNCTION("""COMPUTED_VALUE"""),10080194)</f>
        <v>10080194</v>
      </c>
      <c r="G1663" s="77" t="str">
        <f t="shared" ca="1" si="6"/>
        <v>si</v>
      </c>
    </row>
    <row r="1664" spans="1:7" ht="12.75" x14ac:dyDescent="0.2">
      <c r="A1664" s="62">
        <f ca="1">IFERROR(__xludf.DUMMYFUNCTION("""COMPUTED_VALUE"""),10080195)</f>
        <v>10080195</v>
      </c>
      <c r="B1664" s="62" t="str">
        <f ca="1">IFERROR(__xludf.DUMMYFUNCTION("""COMPUTED_VALUE"""),"Camara Glass Lens iphone 11 Pro")</f>
        <v>Camara Glass Lens iphone 11 Pro</v>
      </c>
      <c r="C1664" s="75">
        <f ca="1">IFERROR(__xludf.DUMMYFUNCTION("""COMPUTED_VALUE"""),60)</f>
        <v>60</v>
      </c>
      <c r="D1664" s="75">
        <f ca="1">IFERROR(__xludf.DUMMYFUNCTION("""COMPUTED_VALUE"""),50)</f>
        <v>50</v>
      </c>
      <c r="E1664" s="76">
        <f ca="1">IFERROR(__xludf.DUMMYFUNCTION("""COMPUTED_VALUE"""),110)</f>
        <v>110</v>
      </c>
      <c r="F1664" s="77">
        <f ca="1">IFERROR(__xludf.DUMMYFUNCTION("""COMPUTED_VALUE"""),10080195)</f>
        <v>10080195</v>
      </c>
      <c r="G1664" s="77" t="str">
        <f t="shared" ca="1" si="6"/>
        <v>si</v>
      </c>
    </row>
    <row r="1665" spans="1:7" ht="12.75" x14ac:dyDescent="0.2">
      <c r="A1665" s="62">
        <f ca="1">IFERROR(__xludf.DUMMYFUNCTION("""COMPUTED_VALUE"""),10080191)</f>
        <v>10080191</v>
      </c>
      <c r="B1665" s="62" t="str">
        <f ca="1">IFERROR(__xludf.DUMMYFUNCTION("""COMPUTED_VALUE"""),"Camara Glass Lens iphone 11 Pro Max")</f>
        <v>Camara Glass Lens iphone 11 Pro Max</v>
      </c>
      <c r="C1665" s="75">
        <f ca="1">IFERROR(__xludf.DUMMYFUNCTION("""COMPUTED_VALUE"""),60)</f>
        <v>60</v>
      </c>
      <c r="D1665" s="75">
        <f ca="1">IFERROR(__xludf.DUMMYFUNCTION("""COMPUTED_VALUE"""),50)</f>
        <v>50</v>
      </c>
      <c r="E1665" s="76">
        <f ca="1">IFERROR(__xludf.DUMMYFUNCTION("""COMPUTED_VALUE"""),110)</f>
        <v>110</v>
      </c>
      <c r="F1665" s="77">
        <f ca="1">IFERROR(__xludf.DUMMYFUNCTION("""COMPUTED_VALUE"""),10080191)</f>
        <v>10080191</v>
      </c>
      <c r="G1665" s="77" t="str">
        <f t="shared" ca="1" si="6"/>
        <v>si</v>
      </c>
    </row>
    <row r="1666" spans="1:7" ht="12.75" x14ac:dyDescent="0.2">
      <c r="A1666" s="62">
        <f ca="1">IFERROR(__xludf.DUMMYFUNCTION("""COMPUTED_VALUE"""),10160173)</f>
        <v>10160173</v>
      </c>
      <c r="B1666" s="62" t="str">
        <f ca="1">IFERROR(__xludf.DUMMYFUNCTION("""COMPUTED_VALUE"""),"Camara Glass Lens iphone 12 Pro Max ")</f>
        <v xml:space="preserve">Camara Glass Lens iphone 12 Pro Max </v>
      </c>
      <c r="C1666" s="75">
        <f ca="1">IFERROR(__xludf.DUMMYFUNCTION("""COMPUTED_VALUE"""),80)</f>
        <v>80</v>
      </c>
      <c r="D1666" s="75">
        <f ca="1">IFERROR(__xludf.DUMMYFUNCTION("""COMPUTED_VALUE"""),50)</f>
        <v>50</v>
      </c>
      <c r="E1666" s="76">
        <f ca="1">IFERROR(__xludf.DUMMYFUNCTION("""COMPUTED_VALUE"""),130)</f>
        <v>130</v>
      </c>
      <c r="F1666" s="77">
        <f ca="1">IFERROR(__xludf.DUMMYFUNCTION("""COMPUTED_VALUE"""),10160173)</f>
        <v>10160173</v>
      </c>
      <c r="G1666" s="77" t="str">
        <f t="shared" ca="1" si="6"/>
        <v>si</v>
      </c>
    </row>
    <row r="1667" spans="1:7" ht="12.75" x14ac:dyDescent="0.2">
      <c r="A1667" s="62">
        <f ca="1">IFERROR(__xludf.DUMMYFUNCTION("""COMPUTED_VALUE"""),10160174)</f>
        <v>10160174</v>
      </c>
      <c r="B1667" s="62" t="str">
        <f ca="1">IFERROR(__xludf.DUMMYFUNCTION("""COMPUTED_VALUE"""),"Camara Glass Lens iphone 13")</f>
        <v>Camara Glass Lens iphone 13</v>
      </c>
      <c r="C1667" s="75">
        <f ca="1">IFERROR(__xludf.DUMMYFUNCTION("""COMPUTED_VALUE"""),150)</f>
        <v>150</v>
      </c>
      <c r="D1667" s="75">
        <f ca="1">IFERROR(__xludf.DUMMYFUNCTION("""COMPUTED_VALUE"""),90)</f>
        <v>90</v>
      </c>
      <c r="E1667" s="76">
        <f ca="1">IFERROR(__xludf.DUMMYFUNCTION("""COMPUTED_VALUE"""),240)</f>
        <v>240</v>
      </c>
      <c r="F1667" s="77">
        <f ca="1">IFERROR(__xludf.DUMMYFUNCTION("""COMPUTED_VALUE"""),10160174)</f>
        <v>10160174</v>
      </c>
      <c r="G1667" s="77" t="str">
        <f t="shared" ca="1" si="6"/>
        <v>si</v>
      </c>
    </row>
    <row r="1668" spans="1:7" ht="12.75" x14ac:dyDescent="0.2">
      <c r="A1668" s="62">
        <f ca="1">IFERROR(__xludf.DUMMYFUNCTION("""COMPUTED_VALUE"""),10160175)</f>
        <v>10160175</v>
      </c>
      <c r="B1668" s="62" t="str">
        <f ca="1">IFERROR(__xludf.DUMMYFUNCTION("""COMPUTED_VALUE"""),"Camara Glass Lens iphone 13 Pro")</f>
        <v>Camara Glass Lens iphone 13 Pro</v>
      </c>
      <c r="C1668" s="75">
        <f ca="1">IFERROR(__xludf.DUMMYFUNCTION("""COMPUTED_VALUE"""),150)</f>
        <v>150</v>
      </c>
      <c r="D1668" s="75">
        <f ca="1">IFERROR(__xludf.DUMMYFUNCTION("""COMPUTED_VALUE"""),90)</f>
        <v>90</v>
      </c>
      <c r="E1668" s="76">
        <f ca="1">IFERROR(__xludf.DUMMYFUNCTION("""COMPUTED_VALUE"""),240)</f>
        <v>240</v>
      </c>
      <c r="F1668" s="77">
        <f ca="1">IFERROR(__xludf.DUMMYFUNCTION("""COMPUTED_VALUE"""),10160175)</f>
        <v>10160175</v>
      </c>
      <c r="G1668" s="77" t="str">
        <f t="shared" ca="1" si="6"/>
        <v>si</v>
      </c>
    </row>
    <row r="1669" spans="1:7" ht="12.75" x14ac:dyDescent="0.2">
      <c r="A1669" s="62">
        <f ca="1">IFERROR(__xludf.DUMMYFUNCTION("""COMPUTED_VALUE"""),10160176)</f>
        <v>10160176</v>
      </c>
      <c r="B1669" s="62" t="str">
        <f ca="1">IFERROR(__xludf.DUMMYFUNCTION("""COMPUTED_VALUE"""),"Camara Glass Lens iphone 13 Pro Max ")</f>
        <v xml:space="preserve">Camara Glass Lens iphone 13 Pro Max </v>
      </c>
      <c r="C1669" s="75">
        <f ca="1">IFERROR(__xludf.DUMMYFUNCTION("""COMPUTED_VALUE"""),150)</f>
        <v>150</v>
      </c>
      <c r="D1669" s="75">
        <f ca="1">IFERROR(__xludf.DUMMYFUNCTION("""COMPUTED_VALUE"""),90)</f>
        <v>90</v>
      </c>
      <c r="E1669" s="76">
        <f ca="1">IFERROR(__xludf.DUMMYFUNCTION("""COMPUTED_VALUE"""),240)</f>
        <v>240</v>
      </c>
      <c r="F1669" s="77">
        <f ca="1">IFERROR(__xludf.DUMMYFUNCTION("""COMPUTED_VALUE"""),10160176)</f>
        <v>10160176</v>
      </c>
      <c r="G1669" s="77" t="str">
        <f t="shared" ca="1" si="6"/>
        <v>si</v>
      </c>
    </row>
    <row r="1670" spans="1:7" ht="12.75" x14ac:dyDescent="0.2">
      <c r="A1670" s="62">
        <f ca="1">IFERROR(__xludf.DUMMYFUNCTION("""COMPUTED_VALUE"""),10080186)</f>
        <v>10080186</v>
      </c>
      <c r="B1670" s="62" t="str">
        <f ca="1">IFERROR(__xludf.DUMMYFUNCTION("""COMPUTED_VALUE"""),"Camara Glass Lens iphone 12")</f>
        <v>Camara Glass Lens iphone 12</v>
      </c>
      <c r="C1670" s="75">
        <f ca="1">IFERROR(__xludf.DUMMYFUNCTION("""COMPUTED_VALUE"""),80)</f>
        <v>80</v>
      </c>
      <c r="D1670" s="75">
        <f ca="1">IFERROR(__xludf.DUMMYFUNCTION("""COMPUTED_VALUE"""),50)</f>
        <v>50</v>
      </c>
      <c r="E1670" s="76">
        <f ca="1">IFERROR(__xludf.DUMMYFUNCTION("""COMPUTED_VALUE"""),130)</f>
        <v>130</v>
      </c>
      <c r="F1670" s="77">
        <f ca="1">IFERROR(__xludf.DUMMYFUNCTION("""COMPUTED_VALUE"""),10080186)</f>
        <v>10080186</v>
      </c>
      <c r="G1670" s="77" t="str">
        <f t="shared" ca="1" si="6"/>
        <v>si</v>
      </c>
    </row>
    <row r="1671" spans="1:7" ht="12.75" x14ac:dyDescent="0.2">
      <c r="A1671" s="62">
        <f ca="1">IFERROR(__xludf.DUMMYFUNCTION("""COMPUTED_VALUE"""),10080187)</f>
        <v>10080187</v>
      </c>
      <c r="B1671" s="62" t="str">
        <f ca="1">IFERROR(__xludf.DUMMYFUNCTION("""COMPUTED_VALUE"""),"Camara Glass Lens iphone 12 mini")</f>
        <v>Camara Glass Lens iphone 12 mini</v>
      </c>
      <c r="C1671" s="75">
        <f ca="1">IFERROR(__xludf.DUMMYFUNCTION("""COMPUTED_VALUE"""),80)</f>
        <v>80</v>
      </c>
      <c r="D1671" s="75">
        <f ca="1">IFERROR(__xludf.DUMMYFUNCTION("""COMPUTED_VALUE"""),50)</f>
        <v>50</v>
      </c>
      <c r="E1671" s="76">
        <f ca="1">IFERROR(__xludf.DUMMYFUNCTION("""COMPUTED_VALUE"""),130)</f>
        <v>130</v>
      </c>
      <c r="F1671" s="77">
        <f ca="1">IFERROR(__xludf.DUMMYFUNCTION("""COMPUTED_VALUE"""),10080187)</f>
        <v>10080187</v>
      </c>
      <c r="G1671" s="77" t="str">
        <f t="shared" ca="1" si="6"/>
        <v>si</v>
      </c>
    </row>
    <row r="1672" spans="1:7" ht="12.75" x14ac:dyDescent="0.2">
      <c r="A1672" s="62">
        <f ca="1">IFERROR(__xludf.DUMMYFUNCTION("""COMPUTED_VALUE"""),10080188)</f>
        <v>10080188</v>
      </c>
      <c r="B1672" s="62" t="str">
        <f ca="1">IFERROR(__xludf.DUMMYFUNCTION("""COMPUTED_VALUE"""),"Camara Glass Lens iphone 12 Pro")</f>
        <v>Camara Glass Lens iphone 12 Pro</v>
      </c>
      <c r="C1672" s="75">
        <f ca="1">IFERROR(__xludf.DUMMYFUNCTION("""COMPUTED_VALUE"""),80)</f>
        <v>80</v>
      </c>
      <c r="D1672" s="75">
        <f ca="1">IFERROR(__xludf.DUMMYFUNCTION("""COMPUTED_VALUE"""),50)</f>
        <v>50</v>
      </c>
      <c r="E1672" s="76">
        <f ca="1">IFERROR(__xludf.DUMMYFUNCTION("""COMPUTED_VALUE"""),130)</f>
        <v>130</v>
      </c>
      <c r="F1672" s="77">
        <f ca="1">IFERROR(__xludf.DUMMYFUNCTION("""COMPUTED_VALUE"""),10080188)</f>
        <v>10080188</v>
      </c>
      <c r="G1672" s="77" t="str">
        <f t="shared" ca="1" si="6"/>
        <v>si</v>
      </c>
    </row>
    <row r="1673" spans="1:7" ht="12.75" x14ac:dyDescent="0.2">
      <c r="A1673" s="62">
        <f ca="1">IFERROR(__xludf.DUMMYFUNCTION("""COMPUTED_VALUE"""),10080189)</f>
        <v>10080189</v>
      </c>
      <c r="B1673" s="62" t="str">
        <f ca="1">IFERROR(__xludf.DUMMYFUNCTION("""COMPUTED_VALUE"""),"Camara Glass Lens iphone X")</f>
        <v>Camara Glass Lens iphone X</v>
      </c>
      <c r="C1673" s="75">
        <f ca="1">IFERROR(__xludf.DUMMYFUNCTION("""COMPUTED_VALUE"""),60)</f>
        <v>60</v>
      </c>
      <c r="D1673" s="75">
        <f ca="1">IFERROR(__xludf.DUMMYFUNCTION("""COMPUTED_VALUE"""),50)</f>
        <v>50</v>
      </c>
      <c r="E1673" s="76">
        <f ca="1">IFERROR(__xludf.DUMMYFUNCTION("""COMPUTED_VALUE"""),110)</f>
        <v>110</v>
      </c>
      <c r="F1673" s="77">
        <f ca="1">IFERROR(__xludf.DUMMYFUNCTION("""COMPUTED_VALUE"""),10080189)</f>
        <v>10080189</v>
      </c>
      <c r="G1673" s="77" t="str">
        <f t="shared" ca="1" si="6"/>
        <v>si</v>
      </c>
    </row>
    <row r="1674" spans="1:7" ht="12.75" x14ac:dyDescent="0.2">
      <c r="A1674" s="62">
        <f ca="1">IFERROR(__xludf.DUMMYFUNCTION("""COMPUTED_VALUE"""),10080190)</f>
        <v>10080190</v>
      </c>
      <c r="B1674" s="62" t="str">
        <f ca="1">IFERROR(__xludf.DUMMYFUNCTION("""COMPUTED_VALUE"""),"Camara Glass Lens iphone XR")</f>
        <v>Camara Glass Lens iphone XR</v>
      </c>
      <c r="C1674" s="75">
        <f ca="1">IFERROR(__xludf.DUMMYFUNCTION("""COMPUTED_VALUE"""),60)</f>
        <v>60</v>
      </c>
      <c r="D1674" s="75">
        <f ca="1">IFERROR(__xludf.DUMMYFUNCTION("""COMPUTED_VALUE"""),50)</f>
        <v>50</v>
      </c>
      <c r="E1674" s="76">
        <f ca="1">IFERROR(__xludf.DUMMYFUNCTION("""COMPUTED_VALUE"""),110)</f>
        <v>110</v>
      </c>
      <c r="F1674" s="77">
        <f ca="1">IFERROR(__xludf.DUMMYFUNCTION("""COMPUTED_VALUE"""),10080190)</f>
        <v>10080190</v>
      </c>
      <c r="G1674" s="77" t="str">
        <f t="shared" ca="1" si="6"/>
        <v>si</v>
      </c>
    </row>
    <row r="1675" spans="1:7" ht="12.75" x14ac:dyDescent="0.2">
      <c r="A1675" s="62">
        <f ca="1">IFERROR(__xludf.DUMMYFUNCTION("""COMPUTED_VALUE"""),10080192)</f>
        <v>10080192</v>
      </c>
      <c r="B1675" s="62" t="str">
        <f ca="1">IFERROR(__xludf.DUMMYFUNCTION("""COMPUTED_VALUE"""),"Camara Glass Lens iphone XS - XS Max")</f>
        <v>Camara Glass Lens iphone XS - XS Max</v>
      </c>
      <c r="C1675" s="75">
        <f ca="1">IFERROR(__xludf.DUMMYFUNCTION("""COMPUTED_VALUE"""),60)</f>
        <v>60</v>
      </c>
      <c r="D1675" s="75">
        <f ca="1">IFERROR(__xludf.DUMMYFUNCTION("""COMPUTED_VALUE"""),50)</f>
        <v>50</v>
      </c>
      <c r="E1675" s="76">
        <f ca="1">IFERROR(__xludf.DUMMYFUNCTION("""COMPUTED_VALUE"""),110)</f>
        <v>110</v>
      </c>
      <c r="F1675" s="77">
        <f ca="1">IFERROR(__xludf.DUMMYFUNCTION("""COMPUTED_VALUE"""),10080192)</f>
        <v>10080192</v>
      </c>
      <c r="G1675" s="77" t="str">
        <f t="shared" ca="1" si="6"/>
        <v>si</v>
      </c>
    </row>
    <row r="1676" spans="1:7" ht="12.75" x14ac:dyDescent="0.2">
      <c r="A1676" s="62">
        <f ca="1">IFERROR(__xludf.DUMMYFUNCTION("""COMPUTED_VALUE"""),10080193)</f>
        <v>10080193</v>
      </c>
      <c r="B1676" s="62" t="str">
        <f ca="1">IFERROR(__xludf.DUMMYFUNCTION("""COMPUTED_VALUE"""),"Camara Glass Lens iphone XS Max")</f>
        <v>Camara Glass Lens iphone XS Max</v>
      </c>
      <c r="C1676" s="75">
        <f ca="1">IFERROR(__xludf.DUMMYFUNCTION("""COMPUTED_VALUE"""),60)</f>
        <v>60</v>
      </c>
      <c r="D1676" s="75">
        <f ca="1">IFERROR(__xludf.DUMMYFUNCTION("""COMPUTED_VALUE"""),50)</f>
        <v>50</v>
      </c>
      <c r="E1676" s="76">
        <f ca="1">IFERROR(__xludf.DUMMYFUNCTION("""COMPUTED_VALUE"""),110)</f>
        <v>110</v>
      </c>
      <c r="F1676" s="77">
        <f ca="1">IFERROR(__xludf.DUMMYFUNCTION("""COMPUTED_VALUE"""),10080193)</f>
        <v>10080193</v>
      </c>
      <c r="G1676" s="77" t="str">
        <f t="shared" ca="1" si="6"/>
        <v>si</v>
      </c>
    </row>
    <row r="1677" spans="1:7" ht="12.75" x14ac:dyDescent="0.2">
      <c r="A1677" s="62">
        <f ca="1">IFERROR(__xludf.DUMMYFUNCTION("""COMPUTED_VALUE"""),10080175)</f>
        <v>10080175</v>
      </c>
      <c r="B1677" s="62" t="str">
        <f ca="1">IFERROR(__xludf.DUMMYFUNCTION("""COMPUTED_VALUE"""),"Camara Glass Lens Moto G8")</f>
        <v>Camara Glass Lens Moto G8</v>
      </c>
      <c r="C1677" s="75">
        <f ca="1">IFERROR(__xludf.DUMMYFUNCTION("""COMPUTED_VALUE"""),55)</f>
        <v>55</v>
      </c>
      <c r="D1677" s="75">
        <f ca="1">IFERROR(__xludf.DUMMYFUNCTION("""COMPUTED_VALUE"""),50)</f>
        <v>50</v>
      </c>
      <c r="E1677" s="76">
        <f ca="1">IFERROR(__xludf.DUMMYFUNCTION("""COMPUTED_VALUE"""),105)</f>
        <v>105</v>
      </c>
      <c r="F1677" s="77">
        <f ca="1">IFERROR(__xludf.DUMMYFUNCTION("""COMPUTED_VALUE"""),10080175)</f>
        <v>10080175</v>
      </c>
      <c r="G1677" s="77" t="str">
        <f t="shared" ca="1" si="6"/>
        <v>si</v>
      </c>
    </row>
    <row r="1678" spans="1:7" ht="12.75" x14ac:dyDescent="0.2">
      <c r="A1678" s="62">
        <f ca="1">IFERROR(__xludf.DUMMYFUNCTION("""COMPUTED_VALUE"""),10080177)</f>
        <v>10080177</v>
      </c>
      <c r="B1678" s="62" t="str">
        <f ca="1">IFERROR(__xludf.DUMMYFUNCTION("""COMPUTED_VALUE"""),"Camara Glass Lens Moto G8 Play")</f>
        <v>Camara Glass Lens Moto G8 Play</v>
      </c>
      <c r="C1678" s="75">
        <f ca="1">IFERROR(__xludf.DUMMYFUNCTION("""COMPUTED_VALUE"""),55)</f>
        <v>55</v>
      </c>
      <c r="D1678" s="75">
        <f ca="1">IFERROR(__xludf.DUMMYFUNCTION("""COMPUTED_VALUE"""),50)</f>
        <v>50</v>
      </c>
      <c r="E1678" s="76">
        <f ca="1">IFERROR(__xludf.DUMMYFUNCTION("""COMPUTED_VALUE"""),105)</f>
        <v>105</v>
      </c>
      <c r="F1678" s="77">
        <f ca="1">IFERROR(__xludf.DUMMYFUNCTION("""COMPUTED_VALUE"""),10080177)</f>
        <v>10080177</v>
      </c>
      <c r="G1678" s="77" t="str">
        <f t="shared" ca="1" si="6"/>
        <v>si</v>
      </c>
    </row>
    <row r="1679" spans="1:7" ht="12.75" x14ac:dyDescent="0.2">
      <c r="A1679" s="62">
        <f ca="1">IFERROR(__xludf.DUMMYFUNCTION("""COMPUTED_VALUE"""),10080176)</f>
        <v>10080176</v>
      </c>
      <c r="B1679" s="62" t="str">
        <f ca="1">IFERROR(__xludf.DUMMYFUNCTION("""COMPUTED_VALUE"""),"Camara Glass Lens Moto G8 Plus")</f>
        <v>Camara Glass Lens Moto G8 Plus</v>
      </c>
      <c r="C1679" s="75">
        <f ca="1">IFERROR(__xludf.DUMMYFUNCTION("""COMPUTED_VALUE"""),55)</f>
        <v>55</v>
      </c>
      <c r="D1679" s="75">
        <f ca="1">IFERROR(__xludf.DUMMYFUNCTION("""COMPUTED_VALUE"""),50)</f>
        <v>50</v>
      </c>
      <c r="E1679" s="76">
        <f ca="1">IFERROR(__xludf.DUMMYFUNCTION("""COMPUTED_VALUE"""),105)</f>
        <v>105</v>
      </c>
      <c r="F1679" s="77">
        <f ca="1">IFERROR(__xludf.DUMMYFUNCTION("""COMPUTED_VALUE"""),10080176)</f>
        <v>10080176</v>
      </c>
      <c r="G1679" s="77" t="str">
        <f t="shared" ca="1" si="6"/>
        <v>si</v>
      </c>
    </row>
    <row r="1680" spans="1:7" ht="12.75" x14ac:dyDescent="0.2">
      <c r="A1680" s="62">
        <f ca="1">IFERROR(__xludf.DUMMYFUNCTION("""COMPUTED_VALUE"""),10080178)</f>
        <v>10080178</v>
      </c>
      <c r="B1680" s="62" t="str">
        <f ca="1">IFERROR(__xludf.DUMMYFUNCTION("""COMPUTED_VALUE"""),"Camara Glass Lens Moto one Vision")</f>
        <v>Camara Glass Lens Moto one Vision</v>
      </c>
      <c r="C1680" s="75">
        <f ca="1">IFERROR(__xludf.DUMMYFUNCTION("""COMPUTED_VALUE"""),55)</f>
        <v>55</v>
      </c>
      <c r="D1680" s="75">
        <f ca="1">IFERROR(__xludf.DUMMYFUNCTION("""COMPUTED_VALUE"""),50)</f>
        <v>50</v>
      </c>
      <c r="E1680" s="76">
        <f ca="1">IFERROR(__xludf.DUMMYFUNCTION("""COMPUTED_VALUE"""),105)</f>
        <v>105</v>
      </c>
      <c r="F1680" s="77">
        <f ca="1">IFERROR(__xludf.DUMMYFUNCTION("""COMPUTED_VALUE"""),10080178)</f>
        <v>10080178</v>
      </c>
      <c r="G1680" s="77" t="str">
        <f t="shared" ca="1" si="6"/>
        <v>si</v>
      </c>
    </row>
    <row r="1681" spans="1:7" ht="12.75" x14ac:dyDescent="0.2">
      <c r="A1681" s="62">
        <f ca="1">IFERROR(__xludf.DUMMYFUNCTION("""COMPUTED_VALUE"""),10080130)</f>
        <v>10080130</v>
      </c>
      <c r="B1681" s="62" t="str">
        <f ca="1">IFERROR(__xludf.DUMMYFUNCTION("""COMPUTED_VALUE"""),"Camara Glass Lens Xiaomi Redmi 9C")</f>
        <v>Camara Glass Lens Xiaomi Redmi 9C</v>
      </c>
      <c r="C1681" s="75">
        <f ca="1">IFERROR(__xludf.DUMMYFUNCTION("""COMPUTED_VALUE"""),45)</f>
        <v>45</v>
      </c>
      <c r="D1681" s="75">
        <f ca="1">IFERROR(__xludf.DUMMYFUNCTION("""COMPUTED_VALUE"""),50)</f>
        <v>50</v>
      </c>
      <c r="E1681" s="76">
        <f ca="1">IFERROR(__xludf.DUMMYFUNCTION("""COMPUTED_VALUE"""),95)</f>
        <v>95</v>
      </c>
      <c r="F1681" s="77">
        <f ca="1">IFERROR(__xludf.DUMMYFUNCTION("""COMPUTED_VALUE"""),10080130)</f>
        <v>10080130</v>
      </c>
      <c r="G1681" s="77" t="str">
        <f t="shared" ca="1" si="6"/>
        <v>si</v>
      </c>
    </row>
    <row r="1682" spans="1:7" ht="12.75" x14ac:dyDescent="0.2">
      <c r="A1682" s="62">
        <f ca="1">IFERROR(__xludf.DUMMYFUNCTION("""COMPUTED_VALUE"""),10080158)</f>
        <v>10080158</v>
      </c>
      <c r="B1682" s="62" t="str">
        <f ca="1">IFERROR(__xludf.DUMMYFUNCTION("""COMPUTED_VALUE"""),"Camara Glass Lens Samsung S20 Plus")</f>
        <v>Camara Glass Lens Samsung S20 Plus</v>
      </c>
      <c r="C1682" s="75">
        <f ca="1">IFERROR(__xludf.DUMMYFUNCTION("""COMPUTED_VALUE"""),45)</f>
        <v>45</v>
      </c>
      <c r="D1682" s="75">
        <f ca="1">IFERROR(__xludf.DUMMYFUNCTION("""COMPUTED_VALUE"""),50)</f>
        <v>50</v>
      </c>
      <c r="E1682" s="76">
        <f ca="1">IFERROR(__xludf.DUMMYFUNCTION("""COMPUTED_VALUE"""),95)</f>
        <v>95</v>
      </c>
      <c r="F1682" s="77">
        <f ca="1">IFERROR(__xludf.DUMMYFUNCTION("""COMPUTED_VALUE"""),10080158)</f>
        <v>10080158</v>
      </c>
      <c r="G1682" s="77" t="str">
        <f t="shared" ca="1" si="6"/>
        <v>si</v>
      </c>
    </row>
    <row r="1683" spans="1:7" ht="12.75" x14ac:dyDescent="0.2">
      <c r="A1683" s="62">
        <f ca="1">IFERROR(__xludf.DUMMYFUNCTION("""COMPUTED_VALUE"""),10080155)</f>
        <v>10080155</v>
      </c>
      <c r="B1683" s="62" t="str">
        <f ca="1">IFERROR(__xludf.DUMMYFUNCTION("""COMPUTED_VALUE"""),"Camara Glass Lens Samsung A12")</f>
        <v>Camara Glass Lens Samsung A12</v>
      </c>
      <c r="C1683" s="75">
        <f ca="1">IFERROR(__xludf.DUMMYFUNCTION("""COMPUTED_VALUE"""),45)</f>
        <v>45</v>
      </c>
      <c r="D1683" s="75">
        <f ca="1">IFERROR(__xludf.DUMMYFUNCTION("""COMPUTED_VALUE"""),50)</f>
        <v>50</v>
      </c>
      <c r="E1683" s="76">
        <f ca="1">IFERROR(__xludf.DUMMYFUNCTION("""COMPUTED_VALUE"""),95)</f>
        <v>95</v>
      </c>
      <c r="F1683" s="77">
        <f ca="1">IFERROR(__xludf.DUMMYFUNCTION("""COMPUTED_VALUE"""),10080155)</f>
        <v>10080155</v>
      </c>
      <c r="G1683" s="77" t="str">
        <f t="shared" ca="1" si="6"/>
        <v>si</v>
      </c>
    </row>
    <row r="1684" spans="1:7" ht="12.75" x14ac:dyDescent="0.2">
      <c r="A1684" s="62">
        <f ca="1">IFERROR(__xludf.DUMMYFUNCTION("""COMPUTED_VALUE"""),10080103)</f>
        <v>10080103</v>
      </c>
      <c r="B1684" s="62" t="str">
        <f ca="1">IFERROR(__xludf.DUMMYFUNCTION("""COMPUTED_VALUE"""),"Camara Glass Lens Samsung A20s")</f>
        <v>Camara Glass Lens Samsung A20s</v>
      </c>
      <c r="C1684" s="75">
        <f ca="1">IFERROR(__xludf.DUMMYFUNCTION("""COMPUTED_VALUE"""),85)</f>
        <v>85</v>
      </c>
      <c r="D1684" s="75">
        <f ca="1">IFERROR(__xludf.DUMMYFUNCTION("""COMPUTED_VALUE"""),50)</f>
        <v>50</v>
      </c>
      <c r="E1684" s="76">
        <f ca="1">IFERROR(__xludf.DUMMYFUNCTION("""COMPUTED_VALUE"""),135)</f>
        <v>135</v>
      </c>
      <c r="F1684" s="77">
        <f ca="1">IFERROR(__xludf.DUMMYFUNCTION("""COMPUTED_VALUE"""),10080103)</f>
        <v>10080103</v>
      </c>
      <c r="G1684" s="77" t="str">
        <f t="shared" ca="1" si="6"/>
        <v>si</v>
      </c>
    </row>
    <row r="1685" spans="1:7" ht="12.75" x14ac:dyDescent="0.2">
      <c r="A1685" s="62">
        <f ca="1">IFERROR(__xludf.DUMMYFUNCTION("""COMPUTED_VALUE"""),10080104)</f>
        <v>10080104</v>
      </c>
      <c r="B1685" s="62" t="str">
        <f ca="1">IFERROR(__xludf.DUMMYFUNCTION("""COMPUTED_VALUE"""),"Camara Glass Lens Samsung A21")</f>
        <v>Camara Glass Lens Samsung A21</v>
      </c>
      <c r="C1685" s="75">
        <f ca="1">IFERROR(__xludf.DUMMYFUNCTION("""COMPUTED_VALUE"""),65)</f>
        <v>65</v>
      </c>
      <c r="D1685" s="75">
        <f ca="1">IFERROR(__xludf.DUMMYFUNCTION("""COMPUTED_VALUE"""),50)</f>
        <v>50</v>
      </c>
      <c r="E1685" s="76">
        <f ca="1">IFERROR(__xludf.DUMMYFUNCTION("""COMPUTED_VALUE"""),115)</f>
        <v>115</v>
      </c>
      <c r="F1685" s="77">
        <f ca="1">IFERROR(__xludf.DUMMYFUNCTION("""COMPUTED_VALUE"""),10080104)</f>
        <v>10080104</v>
      </c>
      <c r="G1685" s="77" t="str">
        <f t="shared" ca="1" si="6"/>
        <v>si</v>
      </c>
    </row>
    <row r="1686" spans="1:7" ht="12.75" x14ac:dyDescent="0.2">
      <c r="A1686" s="62">
        <f ca="1">IFERROR(__xludf.DUMMYFUNCTION("""COMPUTED_VALUE"""),10080160)</f>
        <v>10080160</v>
      </c>
      <c r="B1686" s="62" t="str">
        <f ca="1">IFERROR(__xludf.DUMMYFUNCTION("""COMPUTED_VALUE"""),"Camara Glass Lens Samsung A30S")</f>
        <v>Camara Glass Lens Samsung A30S</v>
      </c>
      <c r="C1686" s="75">
        <f ca="1">IFERROR(__xludf.DUMMYFUNCTION("""COMPUTED_VALUE"""),45)</f>
        <v>45</v>
      </c>
      <c r="D1686" s="75">
        <f ca="1">IFERROR(__xludf.DUMMYFUNCTION("""COMPUTED_VALUE"""),50)</f>
        <v>50</v>
      </c>
      <c r="E1686" s="76">
        <f ca="1">IFERROR(__xludf.DUMMYFUNCTION("""COMPUTED_VALUE"""),95)</f>
        <v>95</v>
      </c>
      <c r="F1686" s="77">
        <f ca="1">IFERROR(__xludf.DUMMYFUNCTION("""COMPUTED_VALUE"""),10080160)</f>
        <v>10080160</v>
      </c>
      <c r="G1686" s="77" t="str">
        <f t="shared" ca="1" si="6"/>
        <v>si</v>
      </c>
    </row>
    <row r="1687" spans="1:7" ht="12.75" x14ac:dyDescent="0.2">
      <c r="A1687" s="62">
        <f ca="1">IFERROR(__xludf.DUMMYFUNCTION("""COMPUTED_VALUE"""),10080162)</f>
        <v>10080162</v>
      </c>
      <c r="B1687" s="62" t="str">
        <f ca="1">IFERROR(__xludf.DUMMYFUNCTION("""COMPUTED_VALUE"""),"Camara Glass Lens Samsung A31 / A31s")</f>
        <v>Camara Glass Lens Samsung A31 / A31s</v>
      </c>
      <c r="C1687" s="75">
        <f ca="1">IFERROR(__xludf.DUMMYFUNCTION("""COMPUTED_VALUE"""),45)</f>
        <v>45</v>
      </c>
      <c r="D1687" s="75">
        <f ca="1">IFERROR(__xludf.DUMMYFUNCTION("""COMPUTED_VALUE"""),50)</f>
        <v>50</v>
      </c>
      <c r="E1687" s="76">
        <f ca="1">IFERROR(__xludf.DUMMYFUNCTION("""COMPUTED_VALUE"""),95)</f>
        <v>95</v>
      </c>
      <c r="F1687" s="77">
        <f ca="1">IFERROR(__xludf.DUMMYFUNCTION("""COMPUTED_VALUE"""),10080162)</f>
        <v>10080162</v>
      </c>
      <c r="G1687" s="77" t="str">
        <f t="shared" ca="1" si="6"/>
        <v>si</v>
      </c>
    </row>
    <row r="1688" spans="1:7" ht="12.75" x14ac:dyDescent="0.2">
      <c r="A1688" s="62">
        <f ca="1">IFERROR(__xludf.DUMMYFUNCTION("""COMPUTED_VALUE"""),10080156)</f>
        <v>10080156</v>
      </c>
      <c r="B1688" s="62"/>
      <c r="C1688" s="75">
        <f ca="1">IFERROR(__xludf.DUMMYFUNCTION("""COMPUTED_VALUE"""),45)</f>
        <v>45</v>
      </c>
      <c r="D1688" s="75">
        <f ca="1">IFERROR(__xludf.DUMMYFUNCTION("""COMPUTED_VALUE"""),50)</f>
        <v>50</v>
      </c>
      <c r="E1688" s="76">
        <f ca="1">IFERROR(__xludf.DUMMYFUNCTION("""COMPUTED_VALUE"""),95)</f>
        <v>95</v>
      </c>
      <c r="F1688" s="77">
        <f ca="1">IFERROR(__xludf.DUMMYFUNCTION("""COMPUTED_VALUE"""),10080156)</f>
        <v>10080156</v>
      </c>
      <c r="G1688" s="77" t="str">
        <f t="shared" ca="1" si="6"/>
        <v>si</v>
      </c>
    </row>
    <row r="1689" spans="1:7" ht="12.75" x14ac:dyDescent="0.2">
      <c r="A1689" s="62">
        <f ca="1">IFERROR(__xludf.DUMMYFUNCTION("""COMPUTED_VALUE"""),10080161)</f>
        <v>10080161</v>
      </c>
      <c r="B1689" s="62" t="str">
        <f ca="1">IFERROR(__xludf.DUMMYFUNCTION("""COMPUTED_VALUE"""),"Camara Glass Lens Samsung A50S")</f>
        <v>Camara Glass Lens Samsung A50S</v>
      </c>
      <c r="C1689" s="75">
        <f ca="1">IFERROR(__xludf.DUMMYFUNCTION("""COMPUTED_VALUE"""),45)</f>
        <v>45</v>
      </c>
      <c r="D1689" s="75">
        <f ca="1">IFERROR(__xludf.DUMMYFUNCTION("""COMPUTED_VALUE"""),50)</f>
        <v>50</v>
      </c>
      <c r="E1689" s="76">
        <f ca="1">IFERROR(__xludf.DUMMYFUNCTION("""COMPUTED_VALUE"""),95)</f>
        <v>95</v>
      </c>
      <c r="F1689" s="77">
        <f ca="1">IFERROR(__xludf.DUMMYFUNCTION("""COMPUTED_VALUE"""),10080161)</f>
        <v>10080161</v>
      </c>
      <c r="G1689" s="77" t="str">
        <f t="shared" ca="1" si="6"/>
        <v>si</v>
      </c>
    </row>
    <row r="1690" spans="1:7" ht="12.75" x14ac:dyDescent="0.2">
      <c r="A1690" s="62">
        <f ca="1">IFERROR(__xludf.DUMMYFUNCTION("""COMPUTED_VALUE"""),10080163)</f>
        <v>10080163</v>
      </c>
      <c r="B1690" s="62" t="str">
        <f ca="1">IFERROR(__xludf.DUMMYFUNCTION("""COMPUTED_VALUE"""),"Camara Glass Lens Samsung A51")</f>
        <v>Camara Glass Lens Samsung A51</v>
      </c>
      <c r="C1690" s="75">
        <f ca="1">IFERROR(__xludf.DUMMYFUNCTION("""COMPUTED_VALUE"""),45)</f>
        <v>45</v>
      </c>
      <c r="D1690" s="75">
        <f ca="1">IFERROR(__xludf.DUMMYFUNCTION("""COMPUTED_VALUE"""),50)</f>
        <v>50</v>
      </c>
      <c r="E1690" s="76">
        <f ca="1">IFERROR(__xludf.DUMMYFUNCTION("""COMPUTED_VALUE"""),95)</f>
        <v>95</v>
      </c>
      <c r="F1690" s="77">
        <f ca="1">IFERROR(__xludf.DUMMYFUNCTION("""COMPUTED_VALUE"""),10080163)</f>
        <v>10080163</v>
      </c>
      <c r="G1690" s="77" t="str">
        <f t="shared" ca="1" si="6"/>
        <v>si</v>
      </c>
    </row>
    <row r="1691" spans="1:7" ht="12.75" x14ac:dyDescent="0.2">
      <c r="A1691" s="62">
        <f ca="1">IFERROR(__xludf.DUMMYFUNCTION("""COMPUTED_VALUE"""),10080164)</f>
        <v>10080164</v>
      </c>
      <c r="B1691" s="62" t="str">
        <f ca="1">IFERROR(__xludf.DUMMYFUNCTION("""COMPUTED_VALUE"""),"Camara Glass Lens Samsung A71")</f>
        <v>Camara Glass Lens Samsung A71</v>
      </c>
      <c r="C1691" s="75">
        <f ca="1">IFERROR(__xludf.DUMMYFUNCTION("""COMPUTED_VALUE"""),45)</f>
        <v>45</v>
      </c>
      <c r="D1691" s="75">
        <f ca="1">IFERROR(__xludf.DUMMYFUNCTION("""COMPUTED_VALUE"""),50)</f>
        <v>50</v>
      </c>
      <c r="E1691" s="76">
        <f ca="1">IFERROR(__xludf.DUMMYFUNCTION("""COMPUTED_VALUE"""),95)</f>
        <v>95</v>
      </c>
      <c r="F1691" s="77">
        <f ca="1">IFERROR(__xludf.DUMMYFUNCTION("""COMPUTED_VALUE"""),10080164)</f>
        <v>10080164</v>
      </c>
      <c r="G1691" s="77" t="str">
        <f t="shared" ca="1" si="6"/>
        <v>si</v>
      </c>
    </row>
    <row r="1692" spans="1:7" ht="12.75" x14ac:dyDescent="0.2">
      <c r="A1692" s="62">
        <f ca="1">IFERROR(__xludf.DUMMYFUNCTION("""COMPUTED_VALUE"""),10080166)</f>
        <v>10080166</v>
      </c>
      <c r="B1692" s="62" t="str">
        <f ca="1">IFERROR(__xludf.DUMMYFUNCTION("""COMPUTED_VALUE"""),"Camara Glass Lens Samsung Note 20 Glod/Green/Silver")</f>
        <v>Camara Glass Lens Samsung Note 20 Glod/Green/Silver</v>
      </c>
      <c r="C1692" s="75">
        <f ca="1">IFERROR(__xludf.DUMMYFUNCTION("""COMPUTED_VALUE"""),55)</f>
        <v>55</v>
      </c>
      <c r="D1692" s="75">
        <f ca="1">IFERROR(__xludf.DUMMYFUNCTION("""COMPUTED_VALUE"""),50)</f>
        <v>50</v>
      </c>
      <c r="E1692" s="76">
        <f ca="1">IFERROR(__xludf.DUMMYFUNCTION("""COMPUTED_VALUE"""),105)</f>
        <v>105</v>
      </c>
      <c r="F1692" s="77">
        <f ca="1">IFERROR(__xludf.DUMMYFUNCTION("""COMPUTED_VALUE"""),10080166)</f>
        <v>10080166</v>
      </c>
      <c r="G1692" s="77" t="str">
        <f t="shared" ca="1" si="6"/>
        <v>si</v>
      </c>
    </row>
    <row r="1693" spans="1:7" ht="12.75" x14ac:dyDescent="0.2">
      <c r="A1693" s="62">
        <f ca="1">IFERROR(__xludf.DUMMYFUNCTION("""COMPUTED_VALUE"""),10080167)</f>
        <v>10080167</v>
      </c>
      <c r="B1693" s="62" t="str">
        <f ca="1">IFERROR(__xludf.DUMMYFUNCTION("""COMPUTED_VALUE"""),"Camara Glass Lens Samsung Note 20 Green")</f>
        <v>Camara Glass Lens Samsung Note 20 Green</v>
      </c>
      <c r="C1693" s="75">
        <f ca="1">IFERROR(__xludf.DUMMYFUNCTION("""COMPUTED_VALUE"""),55)</f>
        <v>55</v>
      </c>
      <c r="D1693" s="75">
        <f ca="1">IFERROR(__xludf.DUMMYFUNCTION("""COMPUTED_VALUE"""),50)</f>
        <v>50</v>
      </c>
      <c r="E1693" s="76">
        <f ca="1">IFERROR(__xludf.DUMMYFUNCTION("""COMPUTED_VALUE"""),105)</f>
        <v>105</v>
      </c>
      <c r="F1693" s="77">
        <f ca="1">IFERROR(__xludf.DUMMYFUNCTION("""COMPUTED_VALUE"""),10080167)</f>
        <v>10080167</v>
      </c>
      <c r="G1693" s="77" t="str">
        <f t="shared" ca="1" si="6"/>
        <v>si</v>
      </c>
    </row>
    <row r="1694" spans="1:7" ht="12.75" x14ac:dyDescent="0.2">
      <c r="A1694" s="62">
        <f ca="1">IFERROR(__xludf.DUMMYFUNCTION("""COMPUTED_VALUE"""),10080168)</f>
        <v>10080168</v>
      </c>
      <c r="B1694" s="62" t="str">
        <f ca="1">IFERROR(__xludf.DUMMYFUNCTION("""COMPUTED_VALUE"""),"Camara Glass Lens Samsung Note 20 Silver")</f>
        <v>Camara Glass Lens Samsung Note 20 Silver</v>
      </c>
      <c r="C1694" s="75">
        <f ca="1">IFERROR(__xludf.DUMMYFUNCTION("""COMPUTED_VALUE"""),55)</f>
        <v>55</v>
      </c>
      <c r="D1694" s="75">
        <f ca="1">IFERROR(__xludf.DUMMYFUNCTION("""COMPUTED_VALUE"""),50)</f>
        <v>50</v>
      </c>
      <c r="E1694" s="76">
        <f ca="1">IFERROR(__xludf.DUMMYFUNCTION("""COMPUTED_VALUE"""),105)</f>
        <v>105</v>
      </c>
      <c r="F1694" s="77">
        <f ca="1">IFERROR(__xludf.DUMMYFUNCTION("""COMPUTED_VALUE"""),10080168)</f>
        <v>10080168</v>
      </c>
      <c r="G1694" s="77" t="str">
        <f t="shared" ca="1" si="6"/>
        <v>si</v>
      </c>
    </row>
    <row r="1695" spans="1:7" ht="12.75" x14ac:dyDescent="0.2">
      <c r="A1695" s="62">
        <f ca="1">IFERROR(__xludf.DUMMYFUNCTION("""COMPUTED_VALUE"""),10080165)</f>
        <v>10080165</v>
      </c>
      <c r="B1695" s="62" t="str">
        <f ca="1">IFERROR(__xludf.DUMMYFUNCTION("""COMPUTED_VALUE"""),"Camara Glass Lens Samsung Note 20 Ultra Black/Gold rose/Silver")</f>
        <v>Camara Glass Lens Samsung Note 20 Ultra Black/Gold rose/Silver</v>
      </c>
      <c r="C1695" s="75">
        <f ca="1">IFERROR(__xludf.DUMMYFUNCTION("""COMPUTED_VALUE"""),55)</f>
        <v>55</v>
      </c>
      <c r="D1695" s="75">
        <f ca="1">IFERROR(__xludf.DUMMYFUNCTION("""COMPUTED_VALUE"""),50)</f>
        <v>50</v>
      </c>
      <c r="E1695" s="76">
        <f ca="1">IFERROR(__xludf.DUMMYFUNCTION("""COMPUTED_VALUE"""),105)</f>
        <v>105</v>
      </c>
      <c r="F1695" s="77">
        <f ca="1">IFERROR(__xludf.DUMMYFUNCTION("""COMPUTED_VALUE"""),10080165)</f>
        <v>10080165</v>
      </c>
      <c r="G1695" s="77" t="str">
        <f t="shared" ca="1" si="6"/>
        <v>si</v>
      </c>
    </row>
    <row r="1696" spans="1:7" ht="12.75" x14ac:dyDescent="0.2">
      <c r="A1696" s="62">
        <f ca="1">IFERROR(__xludf.DUMMYFUNCTION("""COMPUTED_VALUE"""),10080157)</f>
        <v>10080157</v>
      </c>
      <c r="B1696" s="62" t="str">
        <f ca="1">IFERROR(__xludf.DUMMYFUNCTION("""COMPUTED_VALUE"""),"Camara Glass Lens Samsung S20")</f>
        <v>Camara Glass Lens Samsung S20</v>
      </c>
      <c r="C1696" s="75">
        <f ca="1">IFERROR(__xludf.DUMMYFUNCTION("""COMPUTED_VALUE"""),45)</f>
        <v>45</v>
      </c>
      <c r="D1696" s="75">
        <f ca="1">IFERROR(__xludf.DUMMYFUNCTION("""COMPUTED_VALUE"""),50)</f>
        <v>50</v>
      </c>
      <c r="E1696" s="76">
        <f ca="1">IFERROR(__xludf.DUMMYFUNCTION("""COMPUTED_VALUE"""),95)</f>
        <v>95</v>
      </c>
      <c r="F1696" s="77">
        <f ca="1">IFERROR(__xludf.DUMMYFUNCTION("""COMPUTED_VALUE"""),10080157)</f>
        <v>10080157</v>
      </c>
      <c r="G1696" s="77" t="str">
        <f t="shared" ca="1" si="6"/>
        <v>si</v>
      </c>
    </row>
    <row r="1697" spans="1:7" ht="12.75" x14ac:dyDescent="0.2">
      <c r="A1697" s="62">
        <f ca="1">IFERROR(__xludf.DUMMYFUNCTION("""COMPUTED_VALUE"""),10080159)</f>
        <v>10080159</v>
      </c>
      <c r="B1697" s="62" t="str">
        <f ca="1">IFERROR(__xludf.DUMMYFUNCTION("""COMPUTED_VALUE"""),"Camara Glass Lens Samsung s20 Ultra")</f>
        <v>Camara Glass Lens Samsung s20 Ultra</v>
      </c>
      <c r="C1697" s="75">
        <f ca="1">IFERROR(__xludf.DUMMYFUNCTION("""COMPUTED_VALUE"""),45)</f>
        <v>45</v>
      </c>
      <c r="D1697" s="75">
        <f ca="1">IFERROR(__xludf.DUMMYFUNCTION("""COMPUTED_VALUE"""),50)</f>
        <v>50</v>
      </c>
      <c r="E1697" s="76">
        <f ca="1">IFERROR(__xludf.DUMMYFUNCTION("""COMPUTED_VALUE"""),95)</f>
        <v>95</v>
      </c>
      <c r="F1697" s="77">
        <f ca="1">IFERROR(__xludf.DUMMYFUNCTION("""COMPUTED_VALUE"""),10080159)</f>
        <v>10080159</v>
      </c>
      <c r="G1697" s="77" t="str">
        <f t="shared" ca="1" si="6"/>
        <v>si</v>
      </c>
    </row>
    <row r="1698" spans="1:7" ht="12.75" x14ac:dyDescent="0.2">
      <c r="A1698" s="62">
        <f ca="1">IFERROR(__xludf.DUMMYFUNCTION("""COMPUTED_VALUE"""),10080185)</f>
        <v>10080185</v>
      </c>
      <c r="B1698" s="62" t="str">
        <f ca="1">IFERROR(__xludf.DUMMYFUNCTION("""COMPUTED_VALUE"""),"Camara Glass Lens Xiaomi MI 10")</f>
        <v>Camara Glass Lens Xiaomi MI 10</v>
      </c>
      <c r="C1698" s="75">
        <f ca="1">IFERROR(__xludf.DUMMYFUNCTION("""COMPUTED_VALUE"""),55)</f>
        <v>55</v>
      </c>
      <c r="D1698" s="75">
        <f ca="1">IFERROR(__xludf.DUMMYFUNCTION("""COMPUTED_VALUE"""),50)</f>
        <v>50</v>
      </c>
      <c r="E1698" s="76">
        <f ca="1">IFERROR(__xludf.DUMMYFUNCTION("""COMPUTED_VALUE"""),105)</f>
        <v>105</v>
      </c>
      <c r="F1698" s="77">
        <f ca="1">IFERROR(__xludf.DUMMYFUNCTION("""COMPUTED_VALUE"""),10080185)</f>
        <v>10080185</v>
      </c>
      <c r="G1698" s="77" t="str">
        <f t="shared" ca="1" si="6"/>
        <v>si</v>
      </c>
    </row>
    <row r="1699" spans="1:7" ht="12.75" x14ac:dyDescent="0.2">
      <c r="A1699" s="62">
        <f ca="1">IFERROR(__xludf.DUMMYFUNCTION("""COMPUTED_VALUE"""),10080145)</f>
        <v>10080145</v>
      </c>
      <c r="B1699" s="62" t="str">
        <f ca="1">IFERROR(__xludf.DUMMYFUNCTION("""COMPUTED_VALUE"""),"Camara Glass lens xiaomi Mi 9")</f>
        <v>Camara Glass lens xiaomi Mi 9</v>
      </c>
      <c r="C1699" s="75">
        <f ca="1">IFERROR(__xludf.DUMMYFUNCTION("""COMPUTED_VALUE"""),55)</f>
        <v>55</v>
      </c>
      <c r="D1699" s="75">
        <f ca="1">IFERROR(__xludf.DUMMYFUNCTION("""COMPUTED_VALUE"""),50)</f>
        <v>50</v>
      </c>
      <c r="E1699" s="76">
        <f ca="1">IFERROR(__xludf.DUMMYFUNCTION("""COMPUTED_VALUE"""),105)</f>
        <v>105</v>
      </c>
      <c r="F1699" s="77">
        <f ca="1">IFERROR(__xludf.DUMMYFUNCTION("""COMPUTED_VALUE"""),10080145)</f>
        <v>10080145</v>
      </c>
      <c r="G1699" s="77" t="str">
        <f t="shared" ca="1" si="6"/>
        <v>si</v>
      </c>
    </row>
    <row r="1700" spans="1:7" ht="12.75" x14ac:dyDescent="0.2">
      <c r="A1700" s="62">
        <f ca="1">IFERROR(__xludf.DUMMYFUNCTION("""COMPUTED_VALUE"""),10080180)</f>
        <v>10080180</v>
      </c>
      <c r="B1700" s="62" t="str">
        <f ca="1">IFERROR(__xludf.DUMMYFUNCTION("""COMPUTED_VALUE"""),"Camara Glass Lens Xiaomi Note 10")</f>
        <v>Camara Glass Lens Xiaomi Note 10</v>
      </c>
      <c r="C1700" s="75">
        <f ca="1">IFERROR(__xludf.DUMMYFUNCTION("""COMPUTED_VALUE"""),55)</f>
        <v>55</v>
      </c>
      <c r="D1700" s="75">
        <f ca="1">IFERROR(__xludf.DUMMYFUNCTION("""COMPUTED_VALUE"""),50)</f>
        <v>50</v>
      </c>
      <c r="E1700" s="76">
        <f ca="1">IFERROR(__xludf.DUMMYFUNCTION("""COMPUTED_VALUE"""),105)</f>
        <v>105</v>
      </c>
      <c r="F1700" s="77">
        <f ca="1">IFERROR(__xludf.DUMMYFUNCTION("""COMPUTED_VALUE"""),10080180)</f>
        <v>10080180</v>
      </c>
      <c r="G1700" s="77" t="str">
        <f t="shared" ca="1" si="6"/>
        <v>si</v>
      </c>
    </row>
    <row r="1701" spans="1:7" ht="12.75" x14ac:dyDescent="0.2">
      <c r="A1701" s="62">
        <f ca="1">IFERROR(__xludf.DUMMYFUNCTION("""COMPUTED_VALUE"""),10080182)</f>
        <v>10080182</v>
      </c>
      <c r="B1701" s="62" t="str">
        <f ca="1">IFERROR(__xludf.DUMMYFUNCTION("""COMPUTED_VALUE"""),"Camara Glass Lens Xiaomi Note 10 Pro")</f>
        <v>Camara Glass Lens Xiaomi Note 10 Pro</v>
      </c>
      <c r="C1701" s="75">
        <f ca="1">IFERROR(__xludf.DUMMYFUNCTION("""COMPUTED_VALUE"""),55)</f>
        <v>55</v>
      </c>
      <c r="D1701" s="75">
        <f ca="1">IFERROR(__xludf.DUMMYFUNCTION("""COMPUTED_VALUE"""),50)</f>
        <v>50</v>
      </c>
      <c r="E1701" s="76">
        <f ca="1">IFERROR(__xludf.DUMMYFUNCTION("""COMPUTED_VALUE"""),105)</f>
        <v>105</v>
      </c>
      <c r="F1701" s="77">
        <f ca="1">IFERROR(__xludf.DUMMYFUNCTION("""COMPUTED_VALUE"""),10080182)</f>
        <v>10080182</v>
      </c>
      <c r="G1701" s="77" t="str">
        <f t="shared" ca="1" si="6"/>
        <v>si</v>
      </c>
    </row>
    <row r="1702" spans="1:7" ht="12.75" x14ac:dyDescent="0.2">
      <c r="A1702" s="62">
        <f ca="1">IFERROR(__xludf.DUMMYFUNCTION("""COMPUTED_VALUE"""),10080184)</f>
        <v>10080184</v>
      </c>
      <c r="B1702" s="62" t="str">
        <f ca="1">IFERROR(__xludf.DUMMYFUNCTION("""COMPUTED_VALUE"""),"Camara Glass Lens Xiaomi Redmi Note 8")</f>
        <v>Camara Glass Lens Xiaomi Redmi Note 8</v>
      </c>
      <c r="C1702" s="75">
        <f ca="1">IFERROR(__xludf.DUMMYFUNCTION("""COMPUTED_VALUE"""),55)</f>
        <v>55</v>
      </c>
      <c r="D1702" s="75">
        <f ca="1">IFERROR(__xludf.DUMMYFUNCTION("""COMPUTED_VALUE"""),50)</f>
        <v>50</v>
      </c>
      <c r="E1702" s="76">
        <f ca="1">IFERROR(__xludf.DUMMYFUNCTION("""COMPUTED_VALUE"""),105)</f>
        <v>105</v>
      </c>
      <c r="F1702" s="77">
        <f ca="1">IFERROR(__xludf.DUMMYFUNCTION("""COMPUTED_VALUE"""),10080184)</f>
        <v>10080184</v>
      </c>
      <c r="G1702" s="77" t="str">
        <f t="shared" ca="1" si="6"/>
        <v>si</v>
      </c>
    </row>
    <row r="1703" spans="1:7" ht="12.75" x14ac:dyDescent="0.2">
      <c r="A1703" s="62">
        <f ca="1">IFERROR(__xludf.DUMMYFUNCTION("""COMPUTED_VALUE"""),10080179)</f>
        <v>10080179</v>
      </c>
      <c r="B1703" s="62" t="str">
        <f ca="1">IFERROR(__xludf.DUMMYFUNCTION("""COMPUTED_VALUE"""),"Camara Glass Lens Xiaomi Redmi Note 8 Pro")</f>
        <v>Camara Glass Lens Xiaomi Redmi Note 8 Pro</v>
      </c>
      <c r="C1703" s="75">
        <f ca="1">IFERROR(__xludf.DUMMYFUNCTION("""COMPUTED_VALUE"""),55)</f>
        <v>55</v>
      </c>
      <c r="D1703" s="75">
        <f ca="1">IFERROR(__xludf.DUMMYFUNCTION("""COMPUTED_VALUE"""),50)</f>
        <v>50</v>
      </c>
      <c r="E1703" s="76">
        <f ca="1">IFERROR(__xludf.DUMMYFUNCTION("""COMPUTED_VALUE"""),105)</f>
        <v>105</v>
      </c>
      <c r="F1703" s="77">
        <f ca="1">IFERROR(__xludf.DUMMYFUNCTION("""COMPUTED_VALUE"""),10080179)</f>
        <v>10080179</v>
      </c>
      <c r="G1703" s="77" t="str">
        <f t="shared" ca="1" si="6"/>
        <v>si</v>
      </c>
    </row>
    <row r="1704" spans="1:7" ht="12.75" x14ac:dyDescent="0.2">
      <c r="A1704" s="62">
        <f ca="1">IFERROR(__xludf.DUMMYFUNCTION("""COMPUTED_VALUE"""),10080181)</f>
        <v>10080181</v>
      </c>
      <c r="B1704" s="62" t="str">
        <f ca="1">IFERROR(__xludf.DUMMYFUNCTION("""COMPUTED_VALUE"""),"Camara Glass Lens Xiaomi Redmi Note 9")</f>
        <v>Camara Glass Lens Xiaomi Redmi Note 9</v>
      </c>
      <c r="C1704" s="75">
        <f ca="1">IFERROR(__xludf.DUMMYFUNCTION("""COMPUTED_VALUE"""),55)</f>
        <v>55</v>
      </c>
      <c r="D1704" s="75">
        <f ca="1">IFERROR(__xludf.DUMMYFUNCTION("""COMPUTED_VALUE"""),50)</f>
        <v>50</v>
      </c>
      <c r="E1704" s="76">
        <f ca="1">IFERROR(__xludf.DUMMYFUNCTION("""COMPUTED_VALUE"""),105)</f>
        <v>105</v>
      </c>
      <c r="F1704" s="77">
        <f ca="1">IFERROR(__xludf.DUMMYFUNCTION("""COMPUTED_VALUE"""),10080181)</f>
        <v>10080181</v>
      </c>
      <c r="G1704" s="77" t="str">
        <f t="shared" ca="1" si="6"/>
        <v>si</v>
      </c>
    </row>
    <row r="1705" spans="1:7" ht="12.75" x14ac:dyDescent="0.2">
      <c r="A1705" s="62">
        <f ca="1">IFERROR(__xludf.DUMMYFUNCTION("""COMPUTED_VALUE"""),10080183)</f>
        <v>10080183</v>
      </c>
      <c r="B1705" s="62" t="str">
        <f ca="1">IFERROR(__xludf.DUMMYFUNCTION("""COMPUTED_VALUE"""),"Camara Glass Lens Xiaomi Note 9S")</f>
        <v>Camara Glass Lens Xiaomi Note 9S</v>
      </c>
      <c r="C1705" s="75">
        <f ca="1">IFERROR(__xludf.DUMMYFUNCTION("""COMPUTED_VALUE"""),55)</f>
        <v>55</v>
      </c>
      <c r="D1705" s="75">
        <f ca="1">IFERROR(__xludf.DUMMYFUNCTION("""COMPUTED_VALUE"""),50)</f>
        <v>50</v>
      </c>
      <c r="E1705" s="76">
        <f ca="1">IFERROR(__xludf.DUMMYFUNCTION("""COMPUTED_VALUE"""),105)</f>
        <v>105</v>
      </c>
      <c r="F1705" s="77">
        <f ca="1">IFERROR(__xludf.DUMMYFUNCTION("""COMPUTED_VALUE"""),10080183)</f>
        <v>10080183</v>
      </c>
      <c r="G1705" s="77" t="str">
        <f t="shared" ca="1" si="6"/>
        <v>si</v>
      </c>
    </row>
    <row r="1706" spans="1:7" ht="12.75" x14ac:dyDescent="0.2">
      <c r="A1706" s="62">
        <f ca="1">IFERROR(__xludf.DUMMYFUNCTION("""COMPUTED_VALUE"""),10080376)</f>
        <v>10080376</v>
      </c>
      <c r="B1706" s="62" t="str">
        <f ca="1">IFERROR(__xludf.DUMMYFUNCTION("""COMPUTED_VALUE"""),"Camara Glass Lens  Samsung A30 / a20")</f>
        <v>Camara Glass Lens  Samsung A30 / a20</v>
      </c>
      <c r="C1706" s="75">
        <f ca="1">IFERROR(__xludf.DUMMYFUNCTION("""COMPUTED_VALUE"""),70)</f>
        <v>70</v>
      </c>
      <c r="D1706" s="75">
        <f ca="1">IFERROR(__xludf.DUMMYFUNCTION("""COMPUTED_VALUE"""),50)</f>
        <v>50</v>
      </c>
      <c r="E1706" s="76">
        <f ca="1">IFERROR(__xludf.DUMMYFUNCTION("""COMPUTED_VALUE"""),120)</f>
        <v>120</v>
      </c>
      <c r="F1706" s="77">
        <f ca="1">IFERROR(__xludf.DUMMYFUNCTION("""COMPUTED_VALUE"""),10080376)</f>
        <v>10080376</v>
      </c>
      <c r="G1706" s="77" t="str">
        <f t="shared" ca="1" si="6"/>
        <v>si</v>
      </c>
    </row>
    <row r="1707" spans="1:7" ht="12.75" x14ac:dyDescent="0.2">
      <c r="A1707" s="62">
        <f ca="1">IFERROR(__xludf.DUMMYFUNCTION("""COMPUTED_VALUE"""),10080377)</f>
        <v>10080377</v>
      </c>
      <c r="B1707" s="62" t="str">
        <f ca="1">IFERROR(__xludf.DUMMYFUNCTION("""COMPUTED_VALUE"""),"Camara Glass Lens  Samsung A52S 5G")</f>
        <v>Camara Glass Lens  Samsung A52S 5G</v>
      </c>
      <c r="C1707" s="75">
        <f ca="1">IFERROR(__xludf.DUMMYFUNCTION("""COMPUTED_VALUE"""),70)</f>
        <v>70</v>
      </c>
      <c r="D1707" s="75">
        <f ca="1">IFERROR(__xludf.DUMMYFUNCTION("""COMPUTED_VALUE"""),50)</f>
        <v>50</v>
      </c>
      <c r="E1707" s="76">
        <f ca="1">IFERROR(__xludf.DUMMYFUNCTION("""COMPUTED_VALUE"""),120)</f>
        <v>120</v>
      </c>
      <c r="F1707" s="77">
        <f ca="1">IFERROR(__xludf.DUMMYFUNCTION("""COMPUTED_VALUE"""),10080377)</f>
        <v>10080377</v>
      </c>
      <c r="G1707" s="77" t="str">
        <f t="shared" ca="1" si="6"/>
        <v>si</v>
      </c>
    </row>
    <row r="1708" spans="1:7" ht="12.75" x14ac:dyDescent="0.2">
      <c r="A1708" s="62">
        <f ca="1">IFERROR(__xludf.DUMMYFUNCTION("""COMPUTED_VALUE"""),10080378)</f>
        <v>10080378</v>
      </c>
      <c r="B1708" s="62" t="str">
        <f ca="1">IFERROR(__xludf.DUMMYFUNCTION("""COMPUTED_VALUE"""),"Camara Glass Lens Samsung S10 Plus")</f>
        <v>Camara Glass Lens Samsung S10 Plus</v>
      </c>
      <c r="C1708" s="75">
        <f ca="1">IFERROR(__xludf.DUMMYFUNCTION("""COMPUTED_VALUE"""),70)</f>
        <v>70</v>
      </c>
      <c r="D1708" s="75">
        <f ca="1">IFERROR(__xludf.DUMMYFUNCTION("""COMPUTED_VALUE"""),50)</f>
        <v>50</v>
      </c>
      <c r="E1708" s="76">
        <f ca="1">IFERROR(__xludf.DUMMYFUNCTION("""COMPUTED_VALUE"""),120)</f>
        <v>120</v>
      </c>
      <c r="F1708" s="77">
        <f ca="1">IFERROR(__xludf.DUMMYFUNCTION("""COMPUTED_VALUE"""),10080378)</f>
        <v>10080378</v>
      </c>
      <c r="G1708" s="77" t="str">
        <f t="shared" ca="1" si="6"/>
        <v>si</v>
      </c>
    </row>
    <row r="1709" spans="1:7" ht="12.75" x14ac:dyDescent="0.2">
      <c r="A1709" s="62">
        <f ca="1">IFERROR(__xludf.DUMMYFUNCTION("""COMPUTED_VALUE"""),10080379)</f>
        <v>10080379</v>
      </c>
      <c r="B1709" s="62" t="str">
        <f ca="1">IFERROR(__xludf.DUMMYFUNCTION("""COMPUTED_VALUE"""),"Camara Glass Lens Samsung S10 Lite")</f>
        <v>Camara Glass Lens Samsung S10 Lite</v>
      </c>
      <c r="C1709" s="75">
        <f ca="1">IFERROR(__xludf.DUMMYFUNCTION("""COMPUTED_VALUE"""),70)</f>
        <v>70</v>
      </c>
      <c r="D1709" s="75">
        <f ca="1">IFERROR(__xludf.DUMMYFUNCTION("""COMPUTED_VALUE"""),50)</f>
        <v>50</v>
      </c>
      <c r="E1709" s="76">
        <f ca="1">IFERROR(__xludf.DUMMYFUNCTION("""COMPUTED_VALUE"""),120)</f>
        <v>120</v>
      </c>
      <c r="F1709" s="77">
        <f ca="1">IFERROR(__xludf.DUMMYFUNCTION("""COMPUTED_VALUE"""),10080379)</f>
        <v>10080379</v>
      </c>
      <c r="G1709" s="77" t="str">
        <f t="shared" ca="1" si="6"/>
        <v>si</v>
      </c>
    </row>
    <row r="1710" spans="1:7" ht="12.75" x14ac:dyDescent="0.2">
      <c r="A1710" s="62">
        <f ca="1">IFERROR(__xludf.DUMMYFUNCTION("""COMPUTED_VALUE"""),10160325)</f>
        <v>10160325</v>
      </c>
      <c r="B1710" s="62" t="str">
        <f ca="1">IFERROR(__xludf.DUMMYFUNCTION("""COMPUTED_VALUE"""),"Camara Glass Lens Huawei P40 Pro")</f>
        <v>Camara Glass Lens Huawei P40 Pro</v>
      </c>
      <c r="C1710" s="75">
        <f ca="1">IFERROR(__xludf.DUMMYFUNCTION("""COMPUTED_VALUE"""),70)</f>
        <v>70</v>
      </c>
      <c r="D1710" s="75">
        <f ca="1">IFERROR(__xludf.DUMMYFUNCTION("""COMPUTED_VALUE"""),50)</f>
        <v>50</v>
      </c>
      <c r="E1710" s="76">
        <f ca="1">IFERROR(__xludf.DUMMYFUNCTION("""COMPUTED_VALUE"""),120)</f>
        <v>120</v>
      </c>
      <c r="F1710" s="77">
        <f ca="1">IFERROR(__xludf.DUMMYFUNCTION("""COMPUTED_VALUE"""),10160325)</f>
        <v>10160325</v>
      </c>
      <c r="G1710" s="77" t="str">
        <f t="shared" ca="1" si="6"/>
        <v>si</v>
      </c>
    </row>
    <row r="1711" spans="1:7" ht="12.75" x14ac:dyDescent="0.2">
      <c r="A1711" s="62">
        <f ca="1">IFERROR(__xludf.DUMMYFUNCTION("""COMPUTED_VALUE"""),10080380)</f>
        <v>10080380</v>
      </c>
      <c r="B1711" s="62" t="str">
        <f ca="1">IFERROR(__xludf.DUMMYFUNCTION("""COMPUTED_VALUE"""),"Camara Glass Lens Huawei P40")</f>
        <v>Camara Glass Lens Huawei P40</v>
      </c>
      <c r="C1711" s="75">
        <f ca="1">IFERROR(__xludf.DUMMYFUNCTION("""COMPUTED_VALUE"""),70)</f>
        <v>70</v>
      </c>
      <c r="D1711" s="75">
        <f ca="1">IFERROR(__xludf.DUMMYFUNCTION("""COMPUTED_VALUE"""),50)</f>
        <v>50</v>
      </c>
      <c r="E1711" s="76">
        <f ca="1">IFERROR(__xludf.DUMMYFUNCTION("""COMPUTED_VALUE"""),120)</f>
        <v>120</v>
      </c>
      <c r="F1711" s="77">
        <f ca="1">IFERROR(__xludf.DUMMYFUNCTION("""COMPUTED_VALUE"""),10080380)</f>
        <v>10080380</v>
      </c>
      <c r="G1711" s="77" t="str">
        <f t="shared" ca="1" si="6"/>
        <v>si</v>
      </c>
    </row>
    <row r="1712" spans="1:7" ht="12.75" x14ac:dyDescent="0.2">
      <c r="A1712" s="62">
        <f ca="1">IFERROR(__xludf.DUMMYFUNCTION("""COMPUTED_VALUE"""),10080173)</f>
        <v>10080173</v>
      </c>
      <c r="B1712" s="62" t="str">
        <f ca="1">IFERROR(__xludf.DUMMYFUNCTION("""COMPUTED_VALUE"""),"Camara Glass con marco Huawei P30  Black")</f>
        <v>Camara Glass con marco Huawei P30  Black</v>
      </c>
      <c r="C1712" s="75">
        <f ca="1">IFERROR(__xludf.DUMMYFUNCTION("""COMPUTED_VALUE"""),60)</f>
        <v>60</v>
      </c>
      <c r="D1712" s="75">
        <f ca="1">IFERROR(__xludf.DUMMYFUNCTION("""COMPUTED_VALUE"""),50)</f>
        <v>50</v>
      </c>
      <c r="E1712" s="76">
        <f ca="1">IFERROR(__xludf.DUMMYFUNCTION("""COMPUTED_VALUE"""),110)</f>
        <v>110</v>
      </c>
      <c r="F1712" s="77">
        <f ca="1">IFERROR(__xludf.DUMMYFUNCTION("""COMPUTED_VALUE"""),10080173)</f>
        <v>10080173</v>
      </c>
      <c r="G1712" s="77" t="str">
        <f t="shared" ca="1" si="6"/>
        <v>si</v>
      </c>
    </row>
    <row r="1713" spans="1:7" ht="12.75" x14ac:dyDescent="0.2">
      <c r="A1713" s="62">
        <f ca="1">IFERROR(__xludf.DUMMYFUNCTION("""COMPUTED_VALUE"""),10080174)</f>
        <v>10080174</v>
      </c>
      <c r="B1713" s="62" t="str">
        <f ca="1">IFERROR(__xludf.DUMMYFUNCTION("""COMPUTED_VALUE"""),"Camara Glass con marco Huawei P30 Lite")</f>
        <v>Camara Glass con marco Huawei P30 Lite</v>
      </c>
      <c r="C1713" s="75">
        <f ca="1">IFERROR(__xludf.DUMMYFUNCTION("""COMPUTED_VALUE"""),40)</f>
        <v>40</v>
      </c>
      <c r="D1713" s="75">
        <f ca="1">IFERROR(__xludf.DUMMYFUNCTION("""COMPUTED_VALUE"""),50)</f>
        <v>50</v>
      </c>
      <c r="E1713" s="76">
        <f ca="1">IFERROR(__xludf.DUMMYFUNCTION("""COMPUTED_VALUE"""),90)</f>
        <v>90</v>
      </c>
      <c r="F1713" s="77">
        <f ca="1">IFERROR(__xludf.DUMMYFUNCTION("""COMPUTED_VALUE"""),10080174)</f>
        <v>10080174</v>
      </c>
      <c r="G1713" s="77" t="str">
        <f t="shared" ca="1" si="6"/>
        <v>si</v>
      </c>
    </row>
    <row r="1714" spans="1:7" ht="12.75" x14ac:dyDescent="0.2">
      <c r="A1714" s="62">
        <f ca="1">IFERROR(__xludf.DUMMYFUNCTION("""COMPUTED_VALUE"""),10080172)</f>
        <v>10080172</v>
      </c>
      <c r="B1714" s="62" t="str">
        <f ca="1">IFERROR(__xludf.DUMMYFUNCTION("""COMPUTED_VALUE"""),"Camara Glass con marco Huawei P30 Pro Black")</f>
        <v>Camara Glass con marco Huawei P30 Pro Black</v>
      </c>
      <c r="C1714" s="75">
        <f ca="1">IFERROR(__xludf.DUMMYFUNCTION("""COMPUTED_VALUE"""),60)</f>
        <v>60</v>
      </c>
      <c r="D1714" s="75">
        <f ca="1">IFERROR(__xludf.DUMMYFUNCTION("""COMPUTED_VALUE"""),50)</f>
        <v>50</v>
      </c>
      <c r="E1714" s="76">
        <f ca="1">IFERROR(__xludf.DUMMYFUNCTION("""COMPUTED_VALUE"""),110)</f>
        <v>110</v>
      </c>
      <c r="F1714" s="77">
        <f ca="1">IFERROR(__xludf.DUMMYFUNCTION("""COMPUTED_VALUE"""),10080172)</f>
        <v>10080172</v>
      </c>
      <c r="G1714" s="77" t="str">
        <f t="shared" ca="1" si="6"/>
        <v>si</v>
      </c>
    </row>
    <row r="1715" spans="1:7" ht="12.75" x14ac:dyDescent="0.2">
      <c r="A1715" s="62">
        <f ca="1">IFERROR(__xludf.DUMMYFUNCTION("""COMPUTED_VALUE"""),10080144)</f>
        <v>10080144</v>
      </c>
      <c r="B1715" s="62" t="str">
        <f ca="1">IFERROR(__xludf.DUMMYFUNCTION("""COMPUTED_VALUE"""),"Camara Glass con marco Redmi Note 9 Blue")</f>
        <v>Camara Glass con marco Redmi Note 9 Blue</v>
      </c>
      <c r="C1715" s="75">
        <f ca="1">IFERROR(__xludf.DUMMYFUNCTION("""COMPUTED_VALUE"""),40)</f>
        <v>40</v>
      </c>
      <c r="D1715" s="75">
        <f ca="1">IFERROR(__xludf.DUMMYFUNCTION("""COMPUTED_VALUE"""),50)</f>
        <v>50</v>
      </c>
      <c r="E1715" s="76">
        <f ca="1">IFERROR(__xludf.DUMMYFUNCTION("""COMPUTED_VALUE"""),90)</f>
        <v>90</v>
      </c>
      <c r="F1715" s="77">
        <f ca="1">IFERROR(__xludf.DUMMYFUNCTION("""COMPUTED_VALUE"""),10080144)</f>
        <v>10080144</v>
      </c>
      <c r="G1715" s="77" t="str">
        <f t="shared" ca="1" si="6"/>
        <v>si</v>
      </c>
    </row>
    <row r="1716" spans="1:7" ht="12.75" x14ac:dyDescent="0.2">
      <c r="A1716" s="62">
        <f ca="1">IFERROR(__xludf.DUMMYFUNCTION("""COMPUTED_VALUE"""),10080143)</f>
        <v>10080143</v>
      </c>
      <c r="B1716" s="62" t="str">
        <f ca="1">IFERROR(__xludf.DUMMYFUNCTION("""COMPUTED_VALUE"""),"Camara Glass con marco Redmi Note 9S Blue")</f>
        <v>Camara Glass con marco Redmi Note 9S Blue</v>
      </c>
      <c r="C1716" s="75">
        <f ca="1">IFERROR(__xludf.DUMMYFUNCTION("""COMPUTED_VALUE"""),40)</f>
        <v>40</v>
      </c>
      <c r="D1716" s="75">
        <f ca="1">IFERROR(__xludf.DUMMYFUNCTION("""COMPUTED_VALUE"""),50)</f>
        <v>50</v>
      </c>
      <c r="E1716" s="76">
        <f ca="1">IFERROR(__xludf.DUMMYFUNCTION("""COMPUTED_VALUE"""),90)</f>
        <v>90</v>
      </c>
      <c r="F1716" s="77">
        <f ca="1">IFERROR(__xludf.DUMMYFUNCTION("""COMPUTED_VALUE"""),10080143)</f>
        <v>10080143</v>
      </c>
      <c r="G1716" s="77" t="str">
        <f t="shared" ca="1" si="6"/>
        <v>si</v>
      </c>
    </row>
    <row r="1717" spans="1:7" ht="12.75" x14ac:dyDescent="0.2">
      <c r="A1717" s="62">
        <f ca="1">IFERROR(__xludf.DUMMYFUNCTION("""COMPUTED_VALUE"""),10080146)</f>
        <v>10080146</v>
      </c>
      <c r="B1717" s="62" t="str">
        <f ca="1">IFERROR(__xludf.DUMMYFUNCTION("""COMPUTED_VALUE"""),"Camara Glass con marco Xiaomi 9 Black")</f>
        <v>Camara Glass con marco Xiaomi 9 Black</v>
      </c>
      <c r="C1717" s="75">
        <f ca="1">IFERROR(__xludf.DUMMYFUNCTION("""COMPUTED_VALUE"""),40)</f>
        <v>40</v>
      </c>
      <c r="D1717" s="75">
        <f ca="1">IFERROR(__xludf.DUMMYFUNCTION("""COMPUTED_VALUE"""),50)</f>
        <v>50</v>
      </c>
      <c r="E1717" s="76">
        <f ca="1">IFERROR(__xludf.DUMMYFUNCTION("""COMPUTED_VALUE"""),90)</f>
        <v>90</v>
      </c>
      <c r="F1717" s="77">
        <f ca="1">IFERROR(__xludf.DUMMYFUNCTION("""COMPUTED_VALUE"""),10080146)</f>
        <v>10080146</v>
      </c>
      <c r="G1717" s="77" t="str">
        <f t="shared" ca="1" si="6"/>
        <v>si</v>
      </c>
    </row>
    <row r="1718" spans="1:7" ht="12.75" x14ac:dyDescent="0.2">
      <c r="A1718" s="62">
        <f ca="1">IFERROR(__xludf.DUMMYFUNCTION("""COMPUTED_VALUE"""),10080131)</f>
        <v>10080131</v>
      </c>
      <c r="B1718" s="62" t="str">
        <f ca="1">IFERROR(__xludf.DUMMYFUNCTION("""COMPUTED_VALUE"""),"Camara Glass con marco Xiaomi 9 Blue")</f>
        <v>Camara Glass con marco Xiaomi 9 Blue</v>
      </c>
      <c r="C1718" s="75">
        <f ca="1">IFERROR(__xludf.DUMMYFUNCTION("""COMPUTED_VALUE"""),40)</f>
        <v>40</v>
      </c>
      <c r="D1718" s="75">
        <f ca="1">IFERROR(__xludf.DUMMYFUNCTION("""COMPUTED_VALUE"""),50)</f>
        <v>50</v>
      </c>
      <c r="E1718" s="76">
        <f ca="1">IFERROR(__xludf.DUMMYFUNCTION("""COMPUTED_VALUE"""),90)</f>
        <v>90</v>
      </c>
      <c r="F1718" s="77">
        <f ca="1">IFERROR(__xludf.DUMMYFUNCTION("""COMPUTED_VALUE"""),10080131)</f>
        <v>10080131</v>
      </c>
      <c r="G1718" s="77" t="str">
        <f t="shared" ca="1" si="6"/>
        <v>si</v>
      </c>
    </row>
    <row r="1719" spans="1:7" ht="12.75" x14ac:dyDescent="0.2">
      <c r="A1719" s="62">
        <f ca="1">IFERROR(__xludf.DUMMYFUNCTION("""COMPUTED_VALUE"""),10080133)</f>
        <v>10080133</v>
      </c>
      <c r="B1719" s="62" t="str">
        <f ca="1">IFERROR(__xludf.DUMMYFUNCTION("""COMPUTED_VALUE"""),"Camara Glass con marco Xiaomi Note 10 Blue")</f>
        <v>Camara Glass con marco Xiaomi Note 10 Blue</v>
      </c>
      <c r="C1719" s="75">
        <f ca="1">IFERROR(__xludf.DUMMYFUNCTION("""COMPUTED_VALUE"""),40)</f>
        <v>40</v>
      </c>
      <c r="D1719" s="75">
        <f ca="1">IFERROR(__xludf.DUMMYFUNCTION("""COMPUTED_VALUE"""),50)</f>
        <v>50</v>
      </c>
      <c r="E1719" s="76">
        <f ca="1">IFERROR(__xludf.DUMMYFUNCTION("""COMPUTED_VALUE"""),90)</f>
        <v>90</v>
      </c>
      <c r="F1719" s="77">
        <f ca="1">IFERROR(__xludf.DUMMYFUNCTION("""COMPUTED_VALUE"""),10080133)</f>
        <v>10080133</v>
      </c>
      <c r="G1719" s="77" t="str">
        <f t="shared" ca="1" si="6"/>
        <v>si</v>
      </c>
    </row>
    <row r="1720" spans="1:7" ht="12.75" x14ac:dyDescent="0.2">
      <c r="A1720" s="62">
        <f ca="1">IFERROR(__xludf.DUMMYFUNCTION("""COMPUTED_VALUE"""),10080132)</f>
        <v>10080132</v>
      </c>
      <c r="B1720" s="62" t="str">
        <f ca="1">IFERROR(__xludf.DUMMYFUNCTION("""COMPUTED_VALUE"""),"Camara Glass con marco Xiaomi Note 10 Silver")</f>
        <v>Camara Glass con marco Xiaomi Note 10 Silver</v>
      </c>
      <c r="C1720" s="75">
        <f ca="1">IFERROR(__xludf.DUMMYFUNCTION("""COMPUTED_VALUE"""),40)</f>
        <v>40</v>
      </c>
      <c r="D1720" s="75">
        <f ca="1">IFERROR(__xludf.DUMMYFUNCTION("""COMPUTED_VALUE"""),50)</f>
        <v>50</v>
      </c>
      <c r="E1720" s="76">
        <f ca="1">IFERROR(__xludf.DUMMYFUNCTION("""COMPUTED_VALUE"""),90)</f>
        <v>90</v>
      </c>
      <c r="F1720" s="77">
        <f ca="1">IFERROR(__xludf.DUMMYFUNCTION("""COMPUTED_VALUE"""),10080132)</f>
        <v>10080132</v>
      </c>
      <c r="G1720" s="77" t="str">
        <f t="shared" ca="1" si="6"/>
        <v>si</v>
      </c>
    </row>
    <row r="1721" spans="1:7" ht="12.75" x14ac:dyDescent="0.2">
      <c r="A1721" s="62">
        <f ca="1">IFERROR(__xludf.DUMMYFUNCTION("""COMPUTED_VALUE"""),10070008)</f>
        <v>10070008</v>
      </c>
      <c r="B1721" s="62" t="str">
        <f ca="1">IFERROR(__xludf.DUMMYFUNCTION("""COMPUTED_VALUE"""),"Camara Glass con marco Xiaomi PocoPhone F2")</f>
        <v>Camara Glass con marco Xiaomi PocoPhone F2</v>
      </c>
      <c r="C1721" s="75">
        <f ca="1">IFERROR(__xludf.DUMMYFUNCTION("""COMPUTED_VALUE"""),40)</f>
        <v>40</v>
      </c>
      <c r="D1721" s="75">
        <f ca="1">IFERROR(__xludf.DUMMYFUNCTION("""COMPUTED_VALUE"""),50)</f>
        <v>50</v>
      </c>
      <c r="E1721" s="76">
        <f ca="1">IFERROR(__xludf.DUMMYFUNCTION("""COMPUTED_VALUE"""),90)</f>
        <v>90</v>
      </c>
      <c r="F1721" s="77">
        <f ca="1">IFERROR(__xludf.DUMMYFUNCTION("""COMPUTED_VALUE"""),10070008)</f>
        <v>10070008</v>
      </c>
      <c r="G1721" s="77" t="str">
        <f t="shared" ca="1" si="6"/>
        <v>si</v>
      </c>
    </row>
    <row r="1722" spans="1:7" ht="12.75" x14ac:dyDescent="0.2">
      <c r="A1722" s="62">
        <f ca="1">IFERROR(__xludf.DUMMYFUNCTION("""COMPUTED_VALUE"""),10070009)</f>
        <v>10070009</v>
      </c>
      <c r="B1722" s="62" t="str">
        <f ca="1">IFERROR(__xludf.DUMMYFUNCTION("""COMPUTED_VALUE"""),"Camara Glass con marco Xiaomi  PocoPhone F2 Pro")</f>
        <v>Camara Glass con marco Xiaomi  PocoPhone F2 Pro</v>
      </c>
      <c r="C1722" s="75">
        <f ca="1">IFERROR(__xludf.DUMMYFUNCTION("""COMPUTED_VALUE"""),40)</f>
        <v>40</v>
      </c>
      <c r="D1722" s="75">
        <f ca="1">IFERROR(__xludf.DUMMYFUNCTION("""COMPUTED_VALUE"""),50)</f>
        <v>50</v>
      </c>
      <c r="E1722" s="76">
        <f ca="1">IFERROR(__xludf.DUMMYFUNCTION("""COMPUTED_VALUE"""),90)</f>
        <v>90</v>
      </c>
      <c r="F1722" s="77">
        <f ca="1">IFERROR(__xludf.DUMMYFUNCTION("""COMPUTED_VALUE"""),10070009)</f>
        <v>10070009</v>
      </c>
      <c r="G1722" s="77" t="str">
        <f t="shared" ca="1" si="6"/>
        <v>si</v>
      </c>
    </row>
    <row r="1723" spans="1:7" ht="12.75" x14ac:dyDescent="0.2">
      <c r="A1723" s="62">
        <f ca="1">IFERROR(__xludf.DUMMYFUNCTION("""COMPUTED_VALUE"""),10070010)</f>
        <v>10070010</v>
      </c>
      <c r="B1723" s="62" t="str">
        <f ca="1">IFERROR(__xludf.DUMMYFUNCTION("""COMPUTED_VALUE"""),"Camara Glass con marco Xiaomi Mi A2")</f>
        <v>Camara Glass con marco Xiaomi Mi A2</v>
      </c>
      <c r="C1723" s="75">
        <f ca="1">IFERROR(__xludf.DUMMYFUNCTION("""COMPUTED_VALUE"""),40)</f>
        <v>40</v>
      </c>
      <c r="D1723" s="75">
        <f ca="1">IFERROR(__xludf.DUMMYFUNCTION("""COMPUTED_VALUE"""),50)</f>
        <v>50</v>
      </c>
      <c r="E1723" s="76">
        <f ca="1">IFERROR(__xludf.DUMMYFUNCTION("""COMPUTED_VALUE"""),90)</f>
        <v>90</v>
      </c>
      <c r="F1723" s="77">
        <f ca="1">IFERROR(__xludf.DUMMYFUNCTION("""COMPUTED_VALUE"""),10070010)</f>
        <v>10070010</v>
      </c>
      <c r="G1723" s="77" t="str">
        <f t="shared" ca="1" si="6"/>
        <v>si</v>
      </c>
    </row>
    <row r="1724" spans="1:7" ht="12.75" x14ac:dyDescent="0.2">
      <c r="A1724" s="62">
        <f ca="1">IFERROR(__xludf.DUMMYFUNCTION("""COMPUTED_VALUE"""),10070011)</f>
        <v>10070011</v>
      </c>
      <c r="B1724" s="62" t="str">
        <f ca="1">IFERROR(__xludf.DUMMYFUNCTION("""COMPUTED_VALUE"""),"Camara Glass con marco Xiaomi Mi A3")</f>
        <v>Camara Glass con marco Xiaomi Mi A3</v>
      </c>
      <c r="C1724" s="75">
        <f ca="1">IFERROR(__xludf.DUMMYFUNCTION("""COMPUTED_VALUE"""),40)</f>
        <v>40</v>
      </c>
      <c r="D1724" s="75">
        <f ca="1">IFERROR(__xludf.DUMMYFUNCTION("""COMPUTED_VALUE"""),50)</f>
        <v>50</v>
      </c>
      <c r="E1724" s="76">
        <f ca="1">IFERROR(__xludf.DUMMYFUNCTION("""COMPUTED_VALUE"""),90)</f>
        <v>90</v>
      </c>
      <c r="F1724" s="77">
        <f ca="1">IFERROR(__xludf.DUMMYFUNCTION("""COMPUTED_VALUE"""),10070011)</f>
        <v>10070011</v>
      </c>
      <c r="G1724" s="77" t="str">
        <f t="shared" ca="1" si="6"/>
        <v>si</v>
      </c>
    </row>
    <row r="1725" spans="1:7" ht="12.75" x14ac:dyDescent="0.2">
      <c r="A1725" s="62">
        <f ca="1">IFERROR(__xludf.DUMMYFUNCTION("""COMPUTED_VALUE"""),10070012)</f>
        <v>10070012</v>
      </c>
      <c r="B1725" s="62" t="str">
        <f ca="1">IFERROR(__xludf.DUMMYFUNCTION("""COMPUTED_VALUE"""),"Camara Glass con marco Xiaomi Mi A2 Lite - Redmi 6Pro")</f>
        <v>Camara Glass con marco Xiaomi Mi A2 Lite - Redmi 6Pro</v>
      </c>
      <c r="C1725" s="75">
        <f ca="1">IFERROR(__xludf.DUMMYFUNCTION("""COMPUTED_VALUE"""),40)</f>
        <v>40</v>
      </c>
      <c r="D1725" s="75">
        <f ca="1">IFERROR(__xludf.DUMMYFUNCTION("""COMPUTED_VALUE"""),50)</f>
        <v>50</v>
      </c>
      <c r="E1725" s="76">
        <f ca="1">IFERROR(__xludf.DUMMYFUNCTION("""COMPUTED_VALUE"""),90)</f>
        <v>90</v>
      </c>
      <c r="F1725" s="77">
        <f ca="1">IFERROR(__xludf.DUMMYFUNCTION("""COMPUTED_VALUE"""),10070012)</f>
        <v>10070012</v>
      </c>
      <c r="G1725" s="77" t="str">
        <f t="shared" ca="1" si="6"/>
        <v>si</v>
      </c>
    </row>
    <row r="1726" spans="1:7" ht="12.75" x14ac:dyDescent="0.2">
      <c r="A1726" s="62">
        <f ca="1">IFERROR(__xludf.DUMMYFUNCTION("""COMPUTED_VALUE"""),10070013)</f>
        <v>10070013</v>
      </c>
      <c r="B1726" s="62" t="str">
        <f ca="1">IFERROR(__xludf.DUMMYFUNCTION("""COMPUTED_VALUE"""),"Camara Glass con marco Xiaomi Mi A1")</f>
        <v>Camara Glass con marco Xiaomi Mi A1</v>
      </c>
      <c r="C1726" s="75">
        <f ca="1">IFERROR(__xludf.DUMMYFUNCTION("""COMPUTED_VALUE"""),40)</f>
        <v>40</v>
      </c>
      <c r="D1726" s="75">
        <f ca="1">IFERROR(__xludf.DUMMYFUNCTION("""COMPUTED_VALUE"""),50)</f>
        <v>50</v>
      </c>
      <c r="E1726" s="76">
        <f ca="1">IFERROR(__xludf.DUMMYFUNCTION("""COMPUTED_VALUE"""),90)</f>
        <v>90</v>
      </c>
      <c r="F1726" s="77">
        <f ca="1">IFERROR(__xludf.DUMMYFUNCTION("""COMPUTED_VALUE"""),10070013)</f>
        <v>10070013</v>
      </c>
      <c r="G1726" s="77" t="str">
        <f t="shared" ca="1" si="6"/>
        <v>si</v>
      </c>
    </row>
    <row r="1727" spans="1:7" ht="12.75" x14ac:dyDescent="0.2">
      <c r="A1727" s="62">
        <f ca="1">IFERROR(__xludf.DUMMYFUNCTION("""COMPUTED_VALUE"""),10070014)</f>
        <v>10070014</v>
      </c>
      <c r="B1727" s="62" t="str">
        <f ca="1">IFERROR(__xludf.DUMMYFUNCTION("""COMPUTED_VALUE"""),"Camara Glass con marco Xiaomi   Poco X3 - X3 Pro")</f>
        <v>Camara Glass con marco Xiaomi   Poco X3 - X3 Pro</v>
      </c>
      <c r="C1727" s="75">
        <f ca="1">IFERROR(__xludf.DUMMYFUNCTION("""COMPUTED_VALUE"""),40)</f>
        <v>40</v>
      </c>
      <c r="D1727" s="75">
        <f ca="1">IFERROR(__xludf.DUMMYFUNCTION("""COMPUTED_VALUE"""),50)</f>
        <v>50</v>
      </c>
      <c r="E1727" s="76">
        <f ca="1">IFERROR(__xludf.DUMMYFUNCTION("""COMPUTED_VALUE"""),90)</f>
        <v>90</v>
      </c>
      <c r="F1727" s="77">
        <f ca="1">IFERROR(__xludf.DUMMYFUNCTION("""COMPUTED_VALUE"""),10070014)</f>
        <v>10070014</v>
      </c>
      <c r="G1727" s="77" t="str">
        <f t="shared" ca="1" si="6"/>
        <v>si</v>
      </c>
    </row>
    <row r="1728" spans="1:7" ht="12.75" x14ac:dyDescent="0.2">
      <c r="A1728" s="62">
        <f ca="1">IFERROR(__xludf.DUMMYFUNCTION("""COMPUTED_VALUE"""),10070015)</f>
        <v>10070015</v>
      </c>
      <c r="B1728" s="62" t="str">
        <f ca="1">IFERROR(__xludf.DUMMYFUNCTION("""COMPUTED_VALUE"""),"Camara Glass con marco  Xiaomi  Poco M3")</f>
        <v>Camara Glass con marco  Xiaomi  Poco M3</v>
      </c>
      <c r="C1728" s="75">
        <f ca="1">IFERROR(__xludf.DUMMYFUNCTION("""COMPUTED_VALUE"""),40)</f>
        <v>40</v>
      </c>
      <c r="D1728" s="75">
        <f ca="1">IFERROR(__xludf.DUMMYFUNCTION("""COMPUTED_VALUE"""),50)</f>
        <v>50</v>
      </c>
      <c r="E1728" s="76">
        <f ca="1">IFERROR(__xludf.DUMMYFUNCTION("""COMPUTED_VALUE"""),90)</f>
        <v>90</v>
      </c>
      <c r="F1728" s="77">
        <f ca="1">IFERROR(__xludf.DUMMYFUNCTION("""COMPUTED_VALUE"""),10070015)</f>
        <v>10070015</v>
      </c>
      <c r="G1728" s="77" t="str">
        <f t="shared" ca="1" si="6"/>
        <v>si</v>
      </c>
    </row>
    <row r="1729" spans="1:7" ht="12.75" x14ac:dyDescent="0.2">
      <c r="A1729" s="62">
        <f ca="1">IFERROR(__xludf.DUMMYFUNCTION("""COMPUTED_VALUE"""),10070016)</f>
        <v>10070016</v>
      </c>
      <c r="B1729" s="62" t="str">
        <f ca="1">IFERROR(__xludf.DUMMYFUNCTION("""COMPUTED_VALUE"""),"Camara Glass con marco Xiaomi Poco M3 Pro")</f>
        <v>Camara Glass con marco Xiaomi Poco M3 Pro</v>
      </c>
      <c r="C1729" s="75">
        <f ca="1">IFERROR(__xludf.DUMMYFUNCTION("""COMPUTED_VALUE"""),40)</f>
        <v>40</v>
      </c>
      <c r="D1729" s="75">
        <f ca="1">IFERROR(__xludf.DUMMYFUNCTION("""COMPUTED_VALUE"""),50)</f>
        <v>50</v>
      </c>
      <c r="E1729" s="76">
        <f ca="1">IFERROR(__xludf.DUMMYFUNCTION("""COMPUTED_VALUE"""),90)</f>
        <v>90</v>
      </c>
      <c r="F1729" s="77">
        <f ca="1">IFERROR(__xludf.DUMMYFUNCTION("""COMPUTED_VALUE"""),10070016)</f>
        <v>10070016</v>
      </c>
      <c r="G1729" s="77" t="str">
        <f t="shared" ca="1" si="6"/>
        <v>si</v>
      </c>
    </row>
    <row r="1730" spans="1:7" ht="12.75" x14ac:dyDescent="0.2">
      <c r="A1730" s="62">
        <f ca="1">IFERROR(__xludf.DUMMYFUNCTION("""COMPUTED_VALUE"""),10070017)</f>
        <v>10070017</v>
      </c>
      <c r="B1730" s="62" t="str">
        <f ca="1">IFERROR(__xludf.DUMMYFUNCTION("""COMPUTED_VALUE"""),"Camara Glass con marco Xiaomi Redmi Note 7 - 7pro")</f>
        <v>Camara Glass con marco Xiaomi Redmi Note 7 - 7pro</v>
      </c>
      <c r="C1730" s="75">
        <f ca="1">IFERROR(__xludf.DUMMYFUNCTION("""COMPUTED_VALUE"""),40)</f>
        <v>40</v>
      </c>
      <c r="D1730" s="75">
        <f ca="1">IFERROR(__xludf.DUMMYFUNCTION("""COMPUTED_VALUE"""),50)</f>
        <v>50</v>
      </c>
      <c r="E1730" s="76">
        <f ca="1">IFERROR(__xludf.DUMMYFUNCTION("""COMPUTED_VALUE"""),90)</f>
        <v>90</v>
      </c>
      <c r="F1730" s="77">
        <f ca="1">IFERROR(__xludf.DUMMYFUNCTION("""COMPUTED_VALUE"""),10070017)</f>
        <v>10070017</v>
      </c>
      <c r="G1730" s="77" t="str">
        <f t="shared" ca="1" si="6"/>
        <v>si</v>
      </c>
    </row>
    <row r="1731" spans="1:7" ht="12.75" x14ac:dyDescent="0.2">
      <c r="A1731" s="62">
        <f ca="1">IFERROR(__xludf.DUMMYFUNCTION("""COMPUTED_VALUE"""),10070018)</f>
        <v>10070018</v>
      </c>
      <c r="B1731" s="62" t="str">
        <f ca="1">IFERROR(__xludf.DUMMYFUNCTION("""COMPUTED_VALUE"""),"Camara Glass con marco Xiaomi Redmi Note 9  PRO / Note 9s / Note 9T")</f>
        <v>Camara Glass con marco Xiaomi Redmi Note 9  PRO / Note 9s / Note 9T</v>
      </c>
      <c r="C1731" s="75">
        <f ca="1">IFERROR(__xludf.DUMMYFUNCTION("""COMPUTED_VALUE"""),40)</f>
        <v>40</v>
      </c>
      <c r="D1731" s="75">
        <f ca="1">IFERROR(__xludf.DUMMYFUNCTION("""COMPUTED_VALUE"""),50)</f>
        <v>50</v>
      </c>
      <c r="E1731" s="76">
        <f ca="1">IFERROR(__xludf.DUMMYFUNCTION("""COMPUTED_VALUE"""),90)</f>
        <v>90</v>
      </c>
      <c r="F1731" s="77">
        <f ca="1">IFERROR(__xludf.DUMMYFUNCTION("""COMPUTED_VALUE"""),10070018)</f>
        <v>10070018</v>
      </c>
      <c r="G1731" s="77" t="str">
        <f t="shared" ca="1" si="6"/>
        <v>si</v>
      </c>
    </row>
    <row r="1732" spans="1:7" ht="12.75" x14ac:dyDescent="0.2">
      <c r="A1732" s="62">
        <f ca="1">IFERROR(__xludf.DUMMYFUNCTION("""COMPUTED_VALUE"""),10070019)</f>
        <v>10070019</v>
      </c>
      <c r="B1732" s="62" t="str">
        <f ca="1">IFERROR(__xludf.DUMMYFUNCTION("""COMPUTED_VALUE"""),"Camara Glass con marco Xiaomi Note 9T")</f>
        <v>Camara Glass con marco Xiaomi Note 9T</v>
      </c>
      <c r="C1732" s="75">
        <f ca="1">IFERROR(__xludf.DUMMYFUNCTION("""COMPUTED_VALUE"""),40)</f>
        <v>40</v>
      </c>
      <c r="D1732" s="75">
        <f ca="1">IFERROR(__xludf.DUMMYFUNCTION("""COMPUTED_VALUE"""),50)</f>
        <v>50</v>
      </c>
      <c r="E1732" s="76">
        <f ca="1">IFERROR(__xludf.DUMMYFUNCTION("""COMPUTED_VALUE"""),90)</f>
        <v>90</v>
      </c>
      <c r="F1732" s="77">
        <f ca="1">IFERROR(__xludf.DUMMYFUNCTION("""COMPUTED_VALUE"""),10070019)</f>
        <v>10070019</v>
      </c>
      <c r="G1732" s="77" t="str">
        <f t="shared" ca="1" si="6"/>
        <v>si</v>
      </c>
    </row>
    <row r="1733" spans="1:7" ht="12.75" x14ac:dyDescent="0.2">
      <c r="A1733" s="62">
        <f ca="1">IFERROR(__xludf.DUMMYFUNCTION("""COMPUTED_VALUE"""),10070020)</f>
        <v>10070020</v>
      </c>
      <c r="B1733" s="62" t="str">
        <f ca="1">IFERROR(__xludf.DUMMYFUNCTION("""COMPUTED_VALUE"""),"Camara Glass con marco Xiaomi Redmi Note 10s / Note 10")</f>
        <v>Camara Glass con marco Xiaomi Redmi Note 10s / Note 10</v>
      </c>
      <c r="C1733" s="75">
        <f ca="1">IFERROR(__xludf.DUMMYFUNCTION("""COMPUTED_VALUE"""),40)</f>
        <v>40</v>
      </c>
      <c r="D1733" s="75">
        <f ca="1">IFERROR(__xludf.DUMMYFUNCTION("""COMPUTED_VALUE"""),50)</f>
        <v>50</v>
      </c>
      <c r="E1733" s="76">
        <f ca="1">IFERROR(__xludf.DUMMYFUNCTION("""COMPUTED_VALUE"""),90)</f>
        <v>90</v>
      </c>
      <c r="F1733" s="77">
        <f ca="1">IFERROR(__xludf.DUMMYFUNCTION("""COMPUTED_VALUE"""),10070020)</f>
        <v>10070020</v>
      </c>
      <c r="G1733" s="77" t="str">
        <f t="shared" ca="1" si="6"/>
        <v>si</v>
      </c>
    </row>
    <row r="1734" spans="1:7" ht="12.75" x14ac:dyDescent="0.2">
      <c r="A1734" s="62">
        <f ca="1">IFERROR(__xludf.DUMMYFUNCTION("""COMPUTED_VALUE"""),10070021)</f>
        <v>10070021</v>
      </c>
      <c r="B1734" s="62" t="str">
        <f ca="1">IFERROR(__xludf.DUMMYFUNCTION("""COMPUTED_VALUE"""),"Camara Glass con marco Xiaomi MI Note 10 Pro /Note 10 / Note 10 lite")</f>
        <v>Camara Glass con marco Xiaomi MI Note 10 Pro /Note 10 / Note 10 lite</v>
      </c>
      <c r="C1734" s="75">
        <f ca="1">IFERROR(__xludf.DUMMYFUNCTION("""COMPUTED_VALUE"""),40)</f>
        <v>40</v>
      </c>
      <c r="D1734" s="75">
        <f ca="1">IFERROR(__xludf.DUMMYFUNCTION("""COMPUTED_VALUE"""),50)</f>
        <v>50</v>
      </c>
      <c r="E1734" s="76">
        <f ca="1">IFERROR(__xludf.DUMMYFUNCTION("""COMPUTED_VALUE"""),90)</f>
        <v>90</v>
      </c>
      <c r="F1734" s="77">
        <f ca="1">IFERROR(__xludf.DUMMYFUNCTION("""COMPUTED_VALUE"""),10070021)</f>
        <v>10070021</v>
      </c>
      <c r="G1734" s="77" t="str">
        <f t="shared" ca="1" si="6"/>
        <v>si</v>
      </c>
    </row>
    <row r="1735" spans="1:7" ht="12.75" x14ac:dyDescent="0.2">
      <c r="A1735" s="62">
        <f ca="1">IFERROR(__xludf.DUMMYFUNCTION("""COMPUTED_VALUE"""),10070022)</f>
        <v>10070022</v>
      </c>
      <c r="B1735" s="62" t="str">
        <f ca="1">IFERROR(__xludf.DUMMYFUNCTION("""COMPUTED_VALUE"""),"Camara Glass con marco Xiaomi Redmi 7")</f>
        <v>Camara Glass con marco Xiaomi Redmi 7</v>
      </c>
      <c r="C1735" s="75">
        <f ca="1">IFERROR(__xludf.DUMMYFUNCTION("""COMPUTED_VALUE"""),40)</f>
        <v>40</v>
      </c>
      <c r="D1735" s="75">
        <f ca="1">IFERROR(__xludf.DUMMYFUNCTION("""COMPUTED_VALUE"""),50)</f>
        <v>50</v>
      </c>
      <c r="E1735" s="76">
        <f ca="1">IFERROR(__xludf.DUMMYFUNCTION("""COMPUTED_VALUE"""),90)</f>
        <v>90</v>
      </c>
      <c r="F1735" s="77">
        <f ca="1">IFERROR(__xludf.DUMMYFUNCTION("""COMPUTED_VALUE"""),10070022)</f>
        <v>10070022</v>
      </c>
      <c r="G1735" s="77" t="str">
        <f t="shared" ca="1" si="6"/>
        <v>si</v>
      </c>
    </row>
    <row r="1736" spans="1:7" ht="12.75" x14ac:dyDescent="0.2">
      <c r="A1736" s="62">
        <f ca="1">IFERROR(__xludf.DUMMYFUNCTION("""COMPUTED_VALUE"""),10070023)</f>
        <v>10070023</v>
      </c>
      <c r="B1736" s="62" t="str">
        <f ca="1">IFERROR(__xludf.DUMMYFUNCTION("""COMPUTED_VALUE"""),"Camara Glass con marco Xiaomi Redmi 7A")</f>
        <v>Camara Glass con marco Xiaomi Redmi 7A</v>
      </c>
      <c r="C1736" s="75">
        <f ca="1">IFERROR(__xludf.DUMMYFUNCTION("""COMPUTED_VALUE"""),40)</f>
        <v>40</v>
      </c>
      <c r="D1736" s="75">
        <f ca="1">IFERROR(__xludf.DUMMYFUNCTION("""COMPUTED_VALUE"""),50)</f>
        <v>50</v>
      </c>
      <c r="E1736" s="76">
        <f ca="1">IFERROR(__xludf.DUMMYFUNCTION("""COMPUTED_VALUE"""),90)</f>
        <v>90</v>
      </c>
      <c r="F1736" s="77">
        <f ca="1">IFERROR(__xludf.DUMMYFUNCTION("""COMPUTED_VALUE"""),10070023)</f>
        <v>10070023</v>
      </c>
      <c r="G1736" s="77" t="str">
        <f t="shared" ca="1" si="6"/>
        <v>si</v>
      </c>
    </row>
    <row r="1737" spans="1:7" ht="12.75" x14ac:dyDescent="0.2">
      <c r="A1737" s="62">
        <f ca="1">IFERROR(__xludf.DUMMYFUNCTION("""COMPUTED_VALUE"""),10070024)</f>
        <v>10070024</v>
      </c>
      <c r="B1737" s="62" t="str">
        <f ca="1">IFERROR(__xludf.DUMMYFUNCTION("""COMPUTED_VALUE"""),"Camara Glass con marco  Xiaomi Redmi 8 - 8A")</f>
        <v>Camara Glass con marco  Xiaomi Redmi 8 - 8A</v>
      </c>
      <c r="C1737" s="75">
        <f ca="1">IFERROR(__xludf.DUMMYFUNCTION("""COMPUTED_VALUE"""),40)</f>
        <v>40</v>
      </c>
      <c r="D1737" s="75">
        <f ca="1">IFERROR(__xludf.DUMMYFUNCTION("""COMPUTED_VALUE"""),50)</f>
        <v>50</v>
      </c>
      <c r="E1737" s="76">
        <f ca="1">IFERROR(__xludf.DUMMYFUNCTION("""COMPUTED_VALUE"""),90)</f>
        <v>90</v>
      </c>
      <c r="F1737" s="77">
        <f ca="1">IFERROR(__xludf.DUMMYFUNCTION("""COMPUTED_VALUE"""),10070024)</f>
        <v>10070024</v>
      </c>
      <c r="G1737" s="77" t="str">
        <f t="shared" ca="1" si="6"/>
        <v>si</v>
      </c>
    </row>
    <row r="1738" spans="1:7" ht="12.75" x14ac:dyDescent="0.2">
      <c r="A1738" s="62">
        <f ca="1">IFERROR(__xludf.DUMMYFUNCTION("""COMPUTED_VALUE"""),10070025)</f>
        <v>10070025</v>
      </c>
      <c r="B1738" s="62" t="str">
        <f ca="1">IFERROR(__xludf.DUMMYFUNCTION("""COMPUTED_VALUE"""),"Camara Glass con marco Xiaomi Redmi 9A - 9C")</f>
        <v>Camara Glass con marco Xiaomi Redmi 9A - 9C</v>
      </c>
      <c r="C1738" s="75">
        <f ca="1">IFERROR(__xludf.DUMMYFUNCTION("""COMPUTED_VALUE"""),40)</f>
        <v>40</v>
      </c>
      <c r="D1738" s="75">
        <f ca="1">IFERROR(__xludf.DUMMYFUNCTION("""COMPUTED_VALUE"""),50)</f>
        <v>50</v>
      </c>
      <c r="E1738" s="76">
        <f ca="1">IFERROR(__xludf.DUMMYFUNCTION("""COMPUTED_VALUE"""),90)</f>
        <v>90</v>
      </c>
      <c r="F1738" s="77">
        <f ca="1">IFERROR(__xludf.DUMMYFUNCTION("""COMPUTED_VALUE"""),10070025)</f>
        <v>10070025</v>
      </c>
      <c r="G1738" s="77" t="str">
        <f t="shared" ca="1" si="6"/>
        <v>si</v>
      </c>
    </row>
    <row r="1739" spans="1:7" ht="12.75" x14ac:dyDescent="0.2">
      <c r="A1739" s="62">
        <f ca="1">IFERROR(__xludf.DUMMYFUNCTION("""COMPUTED_VALUE"""),10070026)</f>
        <v>10070026</v>
      </c>
      <c r="B1739" s="62" t="str">
        <f ca="1">IFERROR(__xludf.DUMMYFUNCTION("""COMPUTED_VALUE"""),"Camara Glass con marco  Xiaomi Redmi 9T")</f>
        <v>Camara Glass con marco  Xiaomi Redmi 9T</v>
      </c>
      <c r="C1739" s="75">
        <f ca="1">IFERROR(__xludf.DUMMYFUNCTION("""COMPUTED_VALUE"""),40)</f>
        <v>40</v>
      </c>
      <c r="D1739" s="75">
        <f ca="1">IFERROR(__xludf.DUMMYFUNCTION("""COMPUTED_VALUE"""),50)</f>
        <v>50</v>
      </c>
      <c r="E1739" s="76">
        <f ca="1">IFERROR(__xludf.DUMMYFUNCTION("""COMPUTED_VALUE"""),90)</f>
        <v>90</v>
      </c>
      <c r="F1739" s="77">
        <f ca="1">IFERROR(__xludf.DUMMYFUNCTION("""COMPUTED_VALUE"""),10070026)</f>
        <v>10070026</v>
      </c>
      <c r="G1739" s="77" t="str">
        <f t="shared" ca="1" si="6"/>
        <v>si</v>
      </c>
    </row>
    <row r="1740" spans="1:7" ht="12.75" x14ac:dyDescent="0.2">
      <c r="A1740" s="62">
        <f ca="1">IFERROR(__xludf.DUMMYFUNCTION("""COMPUTED_VALUE"""),10070027)</f>
        <v>10070027</v>
      </c>
      <c r="B1740" s="62" t="str">
        <f ca="1">IFERROR(__xludf.DUMMYFUNCTION("""COMPUTED_VALUE"""),"Camara Glass con marco Xiaomi Redmi 10")</f>
        <v>Camara Glass con marco Xiaomi Redmi 10</v>
      </c>
      <c r="C1740" s="75">
        <f ca="1">IFERROR(__xludf.DUMMYFUNCTION("""COMPUTED_VALUE"""),40)</f>
        <v>40</v>
      </c>
      <c r="D1740" s="75">
        <f ca="1">IFERROR(__xludf.DUMMYFUNCTION("""COMPUTED_VALUE"""),50)</f>
        <v>50</v>
      </c>
      <c r="E1740" s="76">
        <f ca="1">IFERROR(__xludf.DUMMYFUNCTION("""COMPUTED_VALUE"""),90)</f>
        <v>90</v>
      </c>
      <c r="F1740" s="77">
        <f ca="1">IFERROR(__xludf.DUMMYFUNCTION("""COMPUTED_VALUE"""),10070027)</f>
        <v>10070027</v>
      </c>
      <c r="G1740" s="77" t="str">
        <f t="shared" ca="1" si="6"/>
        <v>si</v>
      </c>
    </row>
    <row r="1741" spans="1:7" ht="12.75" x14ac:dyDescent="0.2">
      <c r="A1741" s="62">
        <f ca="1">IFERROR(__xludf.DUMMYFUNCTION("""COMPUTED_VALUE"""),10070028)</f>
        <v>10070028</v>
      </c>
      <c r="B1741" s="62" t="str">
        <f ca="1">IFERROR(__xludf.DUMMYFUNCTION("""COMPUTED_VALUE"""),"Camara Glass con marco Xiaomi Redmi Note 10 Pro")</f>
        <v>Camara Glass con marco Xiaomi Redmi Note 10 Pro</v>
      </c>
      <c r="C1741" s="75">
        <f ca="1">IFERROR(__xludf.DUMMYFUNCTION("""COMPUTED_VALUE"""),40)</f>
        <v>40</v>
      </c>
      <c r="D1741" s="75">
        <f ca="1">IFERROR(__xludf.DUMMYFUNCTION("""COMPUTED_VALUE"""),50)</f>
        <v>50</v>
      </c>
      <c r="E1741" s="76">
        <f ca="1">IFERROR(__xludf.DUMMYFUNCTION("""COMPUTED_VALUE"""),90)</f>
        <v>90</v>
      </c>
      <c r="F1741" s="77">
        <f ca="1">IFERROR(__xludf.DUMMYFUNCTION("""COMPUTED_VALUE"""),10070028)</f>
        <v>10070028</v>
      </c>
      <c r="G1741" s="77" t="str">
        <f t="shared" ca="1" si="6"/>
        <v>si</v>
      </c>
    </row>
    <row r="1742" spans="1:7" ht="12.75" x14ac:dyDescent="0.2">
      <c r="A1742" s="62">
        <f ca="1">IFERROR(__xludf.DUMMYFUNCTION("""COMPUTED_VALUE"""),10070029)</f>
        <v>10070029</v>
      </c>
      <c r="B1742" s="62" t="str">
        <f ca="1">IFERROR(__xludf.DUMMYFUNCTION("""COMPUTED_VALUE"""),"Camara Glass con marco Xiaomi Mi 8")</f>
        <v>Camara Glass con marco Xiaomi Mi 8</v>
      </c>
      <c r="C1742" s="75">
        <f ca="1">IFERROR(__xludf.DUMMYFUNCTION("""COMPUTED_VALUE"""),40)</f>
        <v>40</v>
      </c>
      <c r="D1742" s="75">
        <f ca="1">IFERROR(__xludf.DUMMYFUNCTION("""COMPUTED_VALUE"""),50)</f>
        <v>50</v>
      </c>
      <c r="E1742" s="76">
        <f ca="1">IFERROR(__xludf.DUMMYFUNCTION("""COMPUTED_VALUE"""),90)</f>
        <v>90</v>
      </c>
      <c r="F1742" s="77">
        <f ca="1">IFERROR(__xludf.DUMMYFUNCTION("""COMPUTED_VALUE"""),10070029)</f>
        <v>10070029</v>
      </c>
      <c r="G1742" s="77" t="str">
        <f t="shared" ca="1" si="6"/>
        <v>si</v>
      </c>
    </row>
    <row r="1743" spans="1:7" ht="12.75" x14ac:dyDescent="0.2">
      <c r="A1743" s="62">
        <f ca="1">IFERROR(__xludf.DUMMYFUNCTION("""COMPUTED_VALUE"""),10070030)</f>
        <v>10070030</v>
      </c>
      <c r="B1743" s="62" t="str">
        <f ca="1">IFERROR(__xludf.DUMMYFUNCTION("""COMPUTED_VALUE"""),"Camara Glass con marco Xiaomi Mi 8 Lite")</f>
        <v>Camara Glass con marco Xiaomi Mi 8 Lite</v>
      </c>
      <c r="C1743" s="75">
        <f ca="1">IFERROR(__xludf.DUMMYFUNCTION("""COMPUTED_VALUE"""),40)</f>
        <v>40</v>
      </c>
      <c r="D1743" s="75">
        <f ca="1">IFERROR(__xludf.DUMMYFUNCTION("""COMPUTED_VALUE"""),50)</f>
        <v>50</v>
      </c>
      <c r="E1743" s="76">
        <f ca="1">IFERROR(__xludf.DUMMYFUNCTION("""COMPUTED_VALUE"""),90)</f>
        <v>90</v>
      </c>
      <c r="F1743" s="77">
        <f ca="1">IFERROR(__xludf.DUMMYFUNCTION("""COMPUTED_VALUE"""),10070030)</f>
        <v>10070030</v>
      </c>
      <c r="G1743" s="77" t="str">
        <f t="shared" ca="1" si="6"/>
        <v>si</v>
      </c>
    </row>
    <row r="1744" spans="1:7" ht="12.75" x14ac:dyDescent="0.2">
      <c r="A1744" s="62">
        <f ca="1">IFERROR(__xludf.DUMMYFUNCTION("""COMPUTED_VALUE"""),10070031)</f>
        <v>10070031</v>
      </c>
      <c r="B1744" s="62" t="str">
        <f ca="1">IFERROR(__xludf.DUMMYFUNCTION("""COMPUTED_VALUE"""),"Camara Glass con marco Xiaomi Mi 9T / Mi 9T Pro / K20 PRO")</f>
        <v>Camara Glass con marco Xiaomi Mi 9T / Mi 9T Pro / K20 PRO</v>
      </c>
      <c r="C1744" s="75">
        <f ca="1">IFERROR(__xludf.DUMMYFUNCTION("""COMPUTED_VALUE"""),40)</f>
        <v>40</v>
      </c>
      <c r="D1744" s="75">
        <f ca="1">IFERROR(__xludf.DUMMYFUNCTION("""COMPUTED_VALUE"""),50)</f>
        <v>50</v>
      </c>
      <c r="E1744" s="76">
        <f ca="1">IFERROR(__xludf.DUMMYFUNCTION("""COMPUTED_VALUE"""),90)</f>
        <v>90</v>
      </c>
      <c r="F1744" s="77">
        <f ca="1">IFERROR(__xludf.DUMMYFUNCTION("""COMPUTED_VALUE"""),10070031)</f>
        <v>10070031</v>
      </c>
      <c r="G1744" s="77" t="str">
        <f t="shared" ca="1" si="6"/>
        <v>si</v>
      </c>
    </row>
    <row r="1745" spans="1:7" ht="12.75" x14ac:dyDescent="0.2">
      <c r="A1745" s="62">
        <f ca="1">IFERROR(__xludf.DUMMYFUNCTION("""COMPUTED_VALUE"""),10070032)</f>
        <v>10070032</v>
      </c>
      <c r="B1745" s="62" t="str">
        <f ca="1">IFERROR(__xludf.DUMMYFUNCTION("""COMPUTED_VALUE"""),"Camara Glass con marco Xiaomi Mi 9")</f>
        <v>Camara Glass con marco Xiaomi Mi 9</v>
      </c>
      <c r="C1745" s="75">
        <f ca="1">IFERROR(__xludf.DUMMYFUNCTION("""COMPUTED_VALUE"""),40)</f>
        <v>40</v>
      </c>
      <c r="D1745" s="75">
        <f ca="1">IFERROR(__xludf.DUMMYFUNCTION("""COMPUTED_VALUE"""),50)</f>
        <v>50</v>
      </c>
      <c r="E1745" s="76">
        <f ca="1">IFERROR(__xludf.DUMMYFUNCTION("""COMPUTED_VALUE"""),90)</f>
        <v>90</v>
      </c>
      <c r="F1745" s="77">
        <f ca="1">IFERROR(__xludf.DUMMYFUNCTION("""COMPUTED_VALUE"""),10070032)</f>
        <v>10070032</v>
      </c>
      <c r="G1745" s="77" t="str">
        <f t="shared" ca="1" si="6"/>
        <v>si</v>
      </c>
    </row>
    <row r="1746" spans="1:7" ht="12.75" x14ac:dyDescent="0.2">
      <c r="A1746" s="62">
        <f ca="1">IFERROR(__xludf.DUMMYFUNCTION("""COMPUTED_VALUE"""),10070033)</f>
        <v>10070033</v>
      </c>
      <c r="B1746" s="62" t="str">
        <f ca="1">IFERROR(__xludf.DUMMYFUNCTION("""COMPUTED_VALUE"""),"Camara Glass Lens con marco Xiaomi Mi 9 Lite")</f>
        <v>Camara Glass Lens con marco Xiaomi Mi 9 Lite</v>
      </c>
      <c r="C1746" s="75">
        <f ca="1">IFERROR(__xludf.DUMMYFUNCTION("""COMPUTED_VALUE"""),40)</f>
        <v>40</v>
      </c>
      <c r="D1746" s="75">
        <f ca="1">IFERROR(__xludf.DUMMYFUNCTION("""COMPUTED_VALUE"""),50)</f>
        <v>50</v>
      </c>
      <c r="E1746" s="76">
        <f ca="1">IFERROR(__xludf.DUMMYFUNCTION("""COMPUTED_VALUE"""),90)</f>
        <v>90</v>
      </c>
      <c r="F1746" s="77">
        <f ca="1">IFERROR(__xludf.DUMMYFUNCTION("""COMPUTED_VALUE"""),10070033)</f>
        <v>10070033</v>
      </c>
      <c r="G1746" s="77" t="str">
        <f t="shared" ca="1" si="6"/>
        <v>si</v>
      </c>
    </row>
    <row r="1747" spans="1:7" ht="12.75" x14ac:dyDescent="0.2">
      <c r="A1747" s="62">
        <f ca="1">IFERROR(__xludf.DUMMYFUNCTION("""COMPUTED_VALUE"""),10070034)</f>
        <v>10070034</v>
      </c>
      <c r="B1747" s="62" t="str">
        <f ca="1">IFERROR(__xludf.DUMMYFUNCTION("""COMPUTED_VALUE"""),"Camara Glass con marco Xiaomi Mi 9SE")</f>
        <v>Camara Glass con marco Xiaomi Mi 9SE</v>
      </c>
      <c r="C1747" s="75">
        <f ca="1">IFERROR(__xludf.DUMMYFUNCTION("""COMPUTED_VALUE"""),40)</f>
        <v>40</v>
      </c>
      <c r="D1747" s="75">
        <f ca="1">IFERROR(__xludf.DUMMYFUNCTION("""COMPUTED_VALUE"""),50)</f>
        <v>50</v>
      </c>
      <c r="E1747" s="76">
        <f ca="1">IFERROR(__xludf.DUMMYFUNCTION("""COMPUTED_VALUE"""),90)</f>
        <v>90</v>
      </c>
      <c r="F1747" s="77">
        <f ca="1">IFERROR(__xludf.DUMMYFUNCTION("""COMPUTED_VALUE"""),10070034)</f>
        <v>10070034</v>
      </c>
      <c r="G1747" s="77" t="str">
        <f t="shared" ca="1" si="6"/>
        <v>si</v>
      </c>
    </row>
    <row r="1748" spans="1:7" ht="12.75" x14ac:dyDescent="0.2">
      <c r="A1748" s="62">
        <f ca="1">IFERROR(__xludf.DUMMYFUNCTION("""COMPUTED_VALUE"""),10070035)</f>
        <v>10070035</v>
      </c>
      <c r="B1748" s="62" t="str">
        <f ca="1">IFERROR(__xludf.DUMMYFUNCTION("""COMPUTED_VALUE"""),"Camara Glass con marco Xiaomi Mi 10T / mi 10T Pro")</f>
        <v>Camara Glass con marco Xiaomi Mi 10T / mi 10T Pro</v>
      </c>
      <c r="C1748" s="75">
        <f ca="1">IFERROR(__xludf.DUMMYFUNCTION("""COMPUTED_VALUE"""),40)</f>
        <v>40</v>
      </c>
      <c r="D1748" s="75">
        <f ca="1">IFERROR(__xludf.DUMMYFUNCTION("""COMPUTED_VALUE"""),50)</f>
        <v>50</v>
      </c>
      <c r="E1748" s="76">
        <f ca="1">IFERROR(__xludf.DUMMYFUNCTION("""COMPUTED_VALUE"""),90)</f>
        <v>90</v>
      </c>
      <c r="F1748" s="77">
        <f ca="1">IFERROR(__xludf.DUMMYFUNCTION("""COMPUTED_VALUE"""),10070035)</f>
        <v>10070035</v>
      </c>
      <c r="G1748" s="77" t="str">
        <f t="shared" ca="1" si="6"/>
        <v>si</v>
      </c>
    </row>
    <row r="1749" spans="1:7" ht="12.75" x14ac:dyDescent="0.2">
      <c r="A1749" s="62">
        <f ca="1">IFERROR(__xludf.DUMMYFUNCTION("""COMPUTED_VALUE"""),10070036)</f>
        <v>10070036</v>
      </c>
      <c r="B1749" s="62" t="str">
        <f ca="1">IFERROR(__xludf.DUMMYFUNCTION("""COMPUTED_VALUE"""),"Camara Glass con marco Xiaomi Mi 11")</f>
        <v>Camara Glass con marco Xiaomi Mi 11</v>
      </c>
      <c r="C1749" s="75">
        <f ca="1">IFERROR(__xludf.DUMMYFUNCTION("""COMPUTED_VALUE"""),40)</f>
        <v>40</v>
      </c>
      <c r="D1749" s="75">
        <f ca="1">IFERROR(__xludf.DUMMYFUNCTION("""COMPUTED_VALUE"""),50)</f>
        <v>50</v>
      </c>
      <c r="E1749" s="76">
        <f ca="1">IFERROR(__xludf.DUMMYFUNCTION("""COMPUTED_VALUE"""),90)</f>
        <v>90</v>
      </c>
      <c r="F1749" s="77">
        <f ca="1">IFERROR(__xludf.DUMMYFUNCTION("""COMPUTED_VALUE"""),10070036)</f>
        <v>10070036</v>
      </c>
      <c r="G1749" s="77" t="str">
        <f t="shared" ca="1" si="6"/>
        <v>si</v>
      </c>
    </row>
    <row r="1750" spans="1:7" ht="12.75" x14ac:dyDescent="0.2">
      <c r="A1750" s="62">
        <f ca="1">IFERROR(__xludf.DUMMYFUNCTION("""COMPUTED_VALUE"""),10070037)</f>
        <v>10070037</v>
      </c>
      <c r="B1750" s="62" t="str">
        <f ca="1">IFERROR(__xludf.DUMMYFUNCTION("""COMPUTED_VALUE"""),"Camara Glass con marco Xiaomi Mi 11 Lite")</f>
        <v>Camara Glass con marco Xiaomi Mi 11 Lite</v>
      </c>
      <c r="C1750" s="75">
        <f ca="1">IFERROR(__xludf.DUMMYFUNCTION("""COMPUTED_VALUE"""),40)</f>
        <v>40</v>
      </c>
      <c r="D1750" s="75">
        <f ca="1">IFERROR(__xludf.DUMMYFUNCTION("""COMPUTED_VALUE"""),50)</f>
        <v>50</v>
      </c>
      <c r="E1750" s="76">
        <f ca="1">IFERROR(__xludf.DUMMYFUNCTION("""COMPUTED_VALUE"""),90)</f>
        <v>90</v>
      </c>
      <c r="F1750" s="77">
        <f ca="1">IFERROR(__xludf.DUMMYFUNCTION("""COMPUTED_VALUE"""),10070037)</f>
        <v>10070037</v>
      </c>
      <c r="G1750" s="77" t="str">
        <f t="shared" ca="1" si="6"/>
        <v>si</v>
      </c>
    </row>
    <row r="1751" spans="1:7" ht="12.75" x14ac:dyDescent="0.2">
      <c r="A1751" s="62">
        <f ca="1">IFERROR(__xludf.DUMMYFUNCTION("""COMPUTED_VALUE"""),10080115)</f>
        <v>10080115</v>
      </c>
      <c r="B1751" s="62" t="str">
        <f ca="1">IFERROR(__xludf.DUMMYFUNCTION("""COMPUTED_VALUE"""),"PARLANTE Moto G6 Play")</f>
        <v>PARLANTE Moto G6 Play</v>
      </c>
      <c r="C1751" s="75">
        <f ca="1">IFERROR(__xludf.DUMMYFUNCTION("""COMPUTED_VALUE"""),40)</f>
        <v>40</v>
      </c>
      <c r="D1751" s="75">
        <f ca="1">IFERROR(__xludf.DUMMYFUNCTION("""COMPUTED_VALUE"""),50)</f>
        <v>50</v>
      </c>
      <c r="E1751" s="76">
        <f ca="1">IFERROR(__xludf.DUMMYFUNCTION("""COMPUTED_VALUE"""),90)</f>
        <v>90</v>
      </c>
      <c r="F1751" s="77">
        <f ca="1">IFERROR(__xludf.DUMMYFUNCTION("""COMPUTED_VALUE"""),10080115)</f>
        <v>10080115</v>
      </c>
      <c r="G1751" s="77" t="str">
        <f t="shared" ca="1" si="6"/>
        <v>si</v>
      </c>
    </row>
    <row r="1752" spans="1:7" ht="12.75" x14ac:dyDescent="0.2">
      <c r="A1752" s="62">
        <f ca="1">IFERROR(__xludf.DUMMYFUNCTION("""COMPUTED_VALUE"""),10080117)</f>
        <v>10080117</v>
      </c>
      <c r="B1752" s="62" t="str">
        <f ca="1">IFERROR(__xludf.DUMMYFUNCTION("""COMPUTED_VALUE"""),"PARLANTE Moto G6 Plus")</f>
        <v>PARLANTE Moto G6 Plus</v>
      </c>
      <c r="C1752" s="75">
        <f ca="1">IFERROR(__xludf.DUMMYFUNCTION("""COMPUTED_VALUE"""),40)</f>
        <v>40</v>
      </c>
      <c r="D1752" s="75">
        <f ca="1">IFERROR(__xludf.DUMMYFUNCTION("""COMPUTED_VALUE"""),50)</f>
        <v>50</v>
      </c>
      <c r="E1752" s="76">
        <f ca="1">IFERROR(__xludf.DUMMYFUNCTION("""COMPUTED_VALUE"""),90)</f>
        <v>90</v>
      </c>
      <c r="F1752" s="77">
        <f ca="1">IFERROR(__xludf.DUMMYFUNCTION("""COMPUTED_VALUE"""),10080117)</f>
        <v>10080117</v>
      </c>
      <c r="G1752" s="77" t="str">
        <f t="shared" ca="1" si="6"/>
        <v>si</v>
      </c>
    </row>
    <row r="1753" spans="1:7" ht="12.75" x14ac:dyDescent="0.2">
      <c r="A1753" s="62">
        <f ca="1">IFERROR(__xludf.DUMMYFUNCTION("""COMPUTED_VALUE"""),10080116)</f>
        <v>10080116</v>
      </c>
      <c r="B1753" s="62" t="str">
        <f ca="1">IFERROR(__xludf.DUMMYFUNCTION("""COMPUTED_VALUE"""),"PARLANTE Moto G7 Power")</f>
        <v>PARLANTE Moto G7 Power</v>
      </c>
      <c r="C1753" s="75">
        <f ca="1">IFERROR(__xludf.DUMMYFUNCTION("""COMPUTED_VALUE"""),40)</f>
        <v>40</v>
      </c>
      <c r="D1753" s="75">
        <f ca="1">IFERROR(__xludf.DUMMYFUNCTION("""COMPUTED_VALUE"""),50)</f>
        <v>50</v>
      </c>
      <c r="E1753" s="76">
        <f ca="1">IFERROR(__xludf.DUMMYFUNCTION("""COMPUTED_VALUE"""),90)</f>
        <v>90</v>
      </c>
      <c r="F1753" s="77">
        <f ca="1">IFERROR(__xludf.DUMMYFUNCTION("""COMPUTED_VALUE"""),10080116)</f>
        <v>10080116</v>
      </c>
      <c r="G1753" s="77" t="str">
        <f t="shared" ca="1" si="6"/>
        <v>si</v>
      </c>
    </row>
    <row r="1754" spans="1:7" ht="12.75" x14ac:dyDescent="0.2">
      <c r="A1754" s="62">
        <f ca="1">IFERROR(__xludf.DUMMYFUNCTION("""COMPUTED_VALUE"""),10080119)</f>
        <v>10080119</v>
      </c>
      <c r="B1754" s="62" t="str">
        <f ca="1">IFERROR(__xludf.DUMMYFUNCTION("""COMPUTED_VALUE"""),"PARLANTE Moto G8 ")</f>
        <v xml:space="preserve">PARLANTE Moto G8 </v>
      </c>
      <c r="C1754" s="75">
        <f ca="1">IFERROR(__xludf.DUMMYFUNCTION("""COMPUTED_VALUE"""),40)</f>
        <v>40</v>
      </c>
      <c r="D1754" s="75">
        <f ca="1">IFERROR(__xludf.DUMMYFUNCTION("""COMPUTED_VALUE"""),50)</f>
        <v>50</v>
      </c>
      <c r="E1754" s="76">
        <f ca="1">IFERROR(__xludf.DUMMYFUNCTION("""COMPUTED_VALUE"""),90)</f>
        <v>90</v>
      </c>
      <c r="F1754" s="77">
        <f ca="1">IFERROR(__xludf.DUMMYFUNCTION("""COMPUTED_VALUE"""),10080119)</f>
        <v>10080119</v>
      </c>
      <c r="G1754" s="77" t="str">
        <f t="shared" ca="1" si="6"/>
        <v>si</v>
      </c>
    </row>
    <row r="1755" spans="1:7" ht="12.75" x14ac:dyDescent="0.2">
      <c r="A1755" s="62">
        <f ca="1">IFERROR(__xludf.DUMMYFUNCTION("""COMPUTED_VALUE"""),10080120)</f>
        <v>10080120</v>
      </c>
      <c r="B1755" s="62" t="str">
        <f ca="1">IFERROR(__xludf.DUMMYFUNCTION("""COMPUTED_VALUE"""),"PARLANTE Moto G8 Power")</f>
        <v>PARLANTE Moto G8 Power</v>
      </c>
      <c r="C1755" s="75">
        <f ca="1">IFERROR(__xludf.DUMMYFUNCTION("""COMPUTED_VALUE"""),40)</f>
        <v>40</v>
      </c>
      <c r="D1755" s="75">
        <f ca="1">IFERROR(__xludf.DUMMYFUNCTION("""COMPUTED_VALUE"""),50)</f>
        <v>50</v>
      </c>
      <c r="E1755" s="76">
        <f ca="1">IFERROR(__xludf.DUMMYFUNCTION("""COMPUTED_VALUE"""),90)</f>
        <v>90</v>
      </c>
      <c r="F1755" s="77">
        <f ca="1">IFERROR(__xludf.DUMMYFUNCTION("""COMPUTED_VALUE"""),10080120)</f>
        <v>10080120</v>
      </c>
      <c r="G1755" s="77" t="str">
        <f t="shared" ca="1" si="6"/>
        <v>si</v>
      </c>
    </row>
    <row r="1756" spans="1:7" ht="12.75" x14ac:dyDescent="0.2">
      <c r="A1756" s="62">
        <f ca="1">IFERROR(__xludf.DUMMYFUNCTION("""COMPUTED_VALUE"""),10080118)</f>
        <v>10080118</v>
      </c>
      <c r="B1756" s="62" t="str">
        <f ca="1">IFERROR(__xludf.DUMMYFUNCTION("""COMPUTED_VALUE"""),"PARLANTE Moto G8 Play")</f>
        <v>PARLANTE Moto G8 Play</v>
      </c>
      <c r="C1756" s="75">
        <f ca="1">IFERROR(__xludf.DUMMYFUNCTION("""COMPUTED_VALUE"""),40)</f>
        <v>40</v>
      </c>
      <c r="D1756" s="75">
        <f ca="1">IFERROR(__xludf.DUMMYFUNCTION("""COMPUTED_VALUE"""),50)</f>
        <v>50</v>
      </c>
      <c r="E1756" s="76">
        <f ca="1">IFERROR(__xludf.DUMMYFUNCTION("""COMPUTED_VALUE"""),90)</f>
        <v>90</v>
      </c>
      <c r="F1756" s="77">
        <f ca="1">IFERROR(__xludf.DUMMYFUNCTION("""COMPUTED_VALUE"""),10080118)</f>
        <v>10080118</v>
      </c>
      <c r="G1756" s="77" t="str">
        <f t="shared" ca="1" si="6"/>
        <v>si</v>
      </c>
    </row>
    <row r="1757" spans="1:7" ht="12.75" x14ac:dyDescent="0.2">
      <c r="A1757" s="62">
        <f ca="1">IFERROR(__xludf.DUMMYFUNCTION("""COMPUTED_VALUE"""),10080072)</f>
        <v>10080072</v>
      </c>
      <c r="B1757" s="62" t="str">
        <f ca="1">IFERROR(__xludf.DUMMYFUNCTION("""COMPUTED_VALUE"""),"PARLANTE Redmi note 8 Pro")</f>
        <v>PARLANTE Redmi note 8 Pro</v>
      </c>
      <c r="C1757" s="75">
        <f ca="1">IFERROR(__xludf.DUMMYFUNCTION("""COMPUTED_VALUE"""),40)</f>
        <v>40</v>
      </c>
      <c r="D1757" s="75">
        <f ca="1">IFERROR(__xludf.DUMMYFUNCTION("""COMPUTED_VALUE"""),50)</f>
        <v>50</v>
      </c>
      <c r="E1757" s="76">
        <f ca="1">IFERROR(__xludf.DUMMYFUNCTION("""COMPUTED_VALUE"""),90)</f>
        <v>90</v>
      </c>
      <c r="F1757" s="77">
        <f ca="1">IFERROR(__xludf.DUMMYFUNCTION("""COMPUTED_VALUE"""),10080072)</f>
        <v>10080072</v>
      </c>
      <c r="G1757" s="77" t="str">
        <f t="shared" ca="1" si="6"/>
        <v>si</v>
      </c>
    </row>
    <row r="1758" spans="1:7" ht="12.75" x14ac:dyDescent="0.2">
      <c r="A1758" s="62">
        <f ca="1">IFERROR(__xludf.DUMMYFUNCTION("""COMPUTED_VALUE"""),10080070)</f>
        <v>10080070</v>
      </c>
      <c r="B1758" s="62" t="str">
        <f ca="1">IFERROR(__xludf.DUMMYFUNCTION("""COMPUTED_VALUE"""),"PARLANTE Redmi Note 9 Pro")</f>
        <v>PARLANTE Redmi Note 9 Pro</v>
      </c>
      <c r="C1758" s="75">
        <f ca="1">IFERROR(__xludf.DUMMYFUNCTION("""COMPUTED_VALUE"""),40)</f>
        <v>40</v>
      </c>
      <c r="D1758" s="75">
        <f ca="1">IFERROR(__xludf.DUMMYFUNCTION("""COMPUTED_VALUE"""),50)</f>
        <v>50</v>
      </c>
      <c r="E1758" s="76">
        <f ca="1">IFERROR(__xludf.DUMMYFUNCTION("""COMPUTED_VALUE"""),90)</f>
        <v>90</v>
      </c>
      <c r="F1758" s="77">
        <f ca="1">IFERROR(__xludf.DUMMYFUNCTION("""COMPUTED_VALUE"""),10080070)</f>
        <v>10080070</v>
      </c>
      <c r="G1758" s="77" t="str">
        <f t="shared" ca="1" si="6"/>
        <v>si</v>
      </c>
    </row>
    <row r="1759" spans="1:7" ht="12.75" x14ac:dyDescent="0.2">
      <c r="A1759" s="62">
        <f ca="1">IFERROR(__xludf.DUMMYFUNCTION("""COMPUTED_VALUE"""),10080071)</f>
        <v>10080071</v>
      </c>
      <c r="B1759" s="62" t="str">
        <f ca="1">IFERROR(__xludf.DUMMYFUNCTION("""COMPUTED_VALUE"""),"PARLANTE Redmi Note 9S")</f>
        <v>PARLANTE Redmi Note 9S</v>
      </c>
      <c r="C1759" s="75">
        <f ca="1">IFERROR(__xludf.DUMMYFUNCTION("""COMPUTED_VALUE"""),40)</f>
        <v>40</v>
      </c>
      <c r="D1759" s="75">
        <f ca="1">IFERROR(__xludf.DUMMYFUNCTION("""COMPUTED_VALUE"""),50)</f>
        <v>50</v>
      </c>
      <c r="E1759" s="76">
        <f ca="1">IFERROR(__xludf.DUMMYFUNCTION("""COMPUTED_VALUE"""),90)</f>
        <v>90</v>
      </c>
      <c r="F1759" s="77">
        <f ca="1">IFERROR(__xludf.DUMMYFUNCTION("""COMPUTED_VALUE"""),10080071)</f>
        <v>10080071</v>
      </c>
      <c r="G1759" s="77" t="str">
        <f t="shared" ca="1" si="6"/>
        <v>si</v>
      </c>
    </row>
    <row r="1760" spans="1:7" ht="12.75" x14ac:dyDescent="0.2">
      <c r="A1760" s="62">
        <f ca="1">IFERROR(__xludf.DUMMYFUNCTION("""COMPUTED_VALUE"""),10010055)</f>
        <v>10010055</v>
      </c>
      <c r="B1760" s="62" t="str">
        <f ca="1">IFERROR(__xludf.DUMMYFUNCTION("""COMPUTED_VALUE"""),"6SP IPHONE PARLANTE ALTAVOZ")</f>
        <v>6SP IPHONE PARLANTE ALTAVOZ</v>
      </c>
      <c r="C1760" s="75">
        <f ca="1">IFERROR(__xludf.DUMMYFUNCTION("""COMPUTED_VALUE"""),40)</f>
        <v>40</v>
      </c>
      <c r="D1760" s="75">
        <f ca="1">IFERROR(__xludf.DUMMYFUNCTION("""COMPUTED_VALUE"""),50)</f>
        <v>50</v>
      </c>
      <c r="E1760" s="76">
        <f ca="1">IFERROR(__xludf.DUMMYFUNCTION("""COMPUTED_VALUE"""),90)</f>
        <v>90</v>
      </c>
      <c r="F1760" s="77">
        <f ca="1">IFERROR(__xludf.DUMMYFUNCTION("""COMPUTED_VALUE"""),10010055)</f>
        <v>10010055</v>
      </c>
      <c r="G1760" s="77" t="str">
        <f t="shared" ca="1" si="6"/>
        <v>si</v>
      </c>
    </row>
    <row r="1761" spans="1:7" ht="12.75" x14ac:dyDescent="0.2">
      <c r="A1761" s="62">
        <f ca="1">IFERROR(__xludf.DUMMYFUNCTION("""COMPUTED_VALUE"""),10010068)</f>
        <v>10010068</v>
      </c>
      <c r="B1761" s="62" t="str">
        <f ca="1">IFERROR(__xludf.DUMMYFUNCTION("""COMPUTED_VALUE"""),"6G IPHONE PARLANTE ")</f>
        <v xml:space="preserve">6G IPHONE PARLANTE </v>
      </c>
      <c r="C1761" s="75">
        <f ca="1">IFERROR(__xludf.DUMMYFUNCTION("""COMPUTED_VALUE"""),40)</f>
        <v>40</v>
      </c>
      <c r="D1761" s="75">
        <f ca="1">IFERROR(__xludf.DUMMYFUNCTION("""COMPUTED_VALUE"""),50)</f>
        <v>50</v>
      </c>
      <c r="E1761" s="76">
        <f ca="1">IFERROR(__xludf.DUMMYFUNCTION("""COMPUTED_VALUE"""),90)</f>
        <v>90</v>
      </c>
      <c r="F1761" s="77">
        <f ca="1">IFERROR(__xludf.DUMMYFUNCTION("""COMPUTED_VALUE"""),10010068)</f>
        <v>10010068</v>
      </c>
      <c r="G1761" s="77" t="str">
        <f t="shared" ca="1" si="6"/>
        <v>si</v>
      </c>
    </row>
    <row r="1762" spans="1:7" ht="12.75" x14ac:dyDescent="0.2">
      <c r="A1762" s="62">
        <f ca="1">IFERROR(__xludf.DUMMYFUNCTION("""COMPUTED_VALUE"""),10120006)</f>
        <v>10120006</v>
      </c>
      <c r="B1762" s="62" t="str">
        <f ca="1">IFERROR(__xludf.DUMMYFUNCTION("""COMPUTED_VALUE"""),"6S IPHONE PARLANTE ")</f>
        <v xml:space="preserve">6S IPHONE PARLANTE </v>
      </c>
      <c r="C1762" s="75">
        <f ca="1">IFERROR(__xludf.DUMMYFUNCTION("""COMPUTED_VALUE"""),40)</f>
        <v>40</v>
      </c>
      <c r="D1762" s="75">
        <f ca="1">IFERROR(__xludf.DUMMYFUNCTION("""COMPUTED_VALUE"""),50)</f>
        <v>50</v>
      </c>
      <c r="E1762" s="76">
        <f ca="1">IFERROR(__xludf.DUMMYFUNCTION("""COMPUTED_VALUE"""),90)</f>
        <v>90</v>
      </c>
      <c r="F1762" s="77">
        <f ca="1">IFERROR(__xludf.DUMMYFUNCTION("""COMPUTED_VALUE"""),10120006)</f>
        <v>10120006</v>
      </c>
      <c r="G1762" s="77" t="str">
        <f t="shared" ca="1" si="6"/>
        <v>si</v>
      </c>
    </row>
    <row r="1763" spans="1:7" ht="12.75" x14ac:dyDescent="0.2">
      <c r="A1763" s="62">
        <f ca="1">IFERROR(__xludf.DUMMYFUNCTION("""COMPUTED_VALUE"""),10010237)</f>
        <v>10010237</v>
      </c>
      <c r="B1763" s="62" t="str">
        <f ca="1">IFERROR(__xludf.DUMMYFUNCTION("""COMPUTED_VALUE"""),"6P IPHONE PARLANTE ")</f>
        <v xml:space="preserve">6P IPHONE PARLANTE </v>
      </c>
      <c r="C1763" s="75">
        <f ca="1">IFERROR(__xludf.DUMMYFUNCTION("""COMPUTED_VALUE"""),40)</f>
        <v>40</v>
      </c>
      <c r="D1763" s="75">
        <f ca="1">IFERROR(__xludf.DUMMYFUNCTION("""COMPUTED_VALUE"""),50)</f>
        <v>50</v>
      </c>
      <c r="E1763" s="76">
        <f ca="1">IFERROR(__xludf.DUMMYFUNCTION("""COMPUTED_VALUE"""),90)</f>
        <v>90</v>
      </c>
      <c r="F1763" s="77">
        <f ca="1">IFERROR(__xludf.DUMMYFUNCTION("""COMPUTED_VALUE"""),10010237)</f>
        <v>10010237</v>
      </c>
      <c r="G1763" s="77" t="str">
        <f t="shared" ca="1" si="6"/>
        <v>si</v>
      </c>
    </row>
    <row r="1764" spans="1:7" ht="12.75" x14ac:dyDescent="0.2">
      <c r="A1764" s="62">
        <f ca="1">IFERROR(__xludf.DUMMYFUNCTION("""COMPUTED_VALUE"""),10010154)</f>
        <v>10010154</v>
      </c>
      <c r="B1764" s="62" t="str">
        <f ca="1">IFERROR(__xludf.DUMMYFUNCTION("""COMPUTED_VALUE"""),"Flex Auricular Iphone 6SP")</f>
        <v>Flex Auricular Iphone 6SP</v>
      </c>
      <c r="C1764" s="75">
        <f ca="1">IFERROR(__xludf.DUMMYFUNCTION("""COMPUTED_VALUE"""),40)</f>
        <v>40</v>
      </c>
      <c r="D1764" s="75">
        <f ca="1">IFERROR(__xludf.DUMMYFUNCTION("""COMPUTED_VALUE"""),50)</f>
        <v>50</v>
      </c>
      <c r="E1764" s="76">
        <f ca="1">IFERROR(__xludf.DUMMYFUNCTION("""COMPUTED_VALUE"""),90)</f>
        <v>90</v>
      </c>
      <c r="F1764" s="77">
        <f ca="1">IFERROR(__xludf.DUMMYFUNCTION("""COMPUTED_VALUE"""),10010154)</f>
        <v>10010154</v>
      </c>
      <c r="G1764" s="77" t="str">
        <f t="shared" ca="1" si="6"/>
        <v>si</v>
      </c>
    </row>
    <row r="1765" spans="1:7" ht="12.75" x14ac:dyDescent="0.2">
      <c r="A1765" s="62">
        <f ca="1">IFERROR(__xludf.DUMMYFUNCTION("""COMPUTED_VALUE"""),20150001)</f>
        <v>20150001</v>
      </c>
      <c r="B1765" s="62" t="str">
        <f ca="1">IFERROR(__xludf.DUMMYFUNCTION("""COMPUTED_VALUE"""),"PARLANTE Iphone 6S")</f>
        <v>PARLANTE Iphone 6S</v>
      </c>
      <c r="C1765" s="75">
        <f ca="1">IFERROR(__xludf.DUMMYFUNCTION("""COMPUTED_VALUE"""),40)</f>
        <v>40</v>
      </c>
      <c r="D1765" s="75">
        <f ca="1">IFERROR(__xludf.DUMMYFUNCTION("""COMPUTED_VALUE"""),50)</f>
        <v>50</v>
      </c>
      <c r="E1765" s="76">
        <f ca="1">IFERROR(__xludf.DUMMYFUNCTION("""COMPUTED_VALUE"""),90)</f>
        <v>90</v>
      </c>
      <c r="F1765" s="77">
        <f ca="1">IFERROR(__xludf.DUMMYFUNCTION("""COMPUTED_VALUE"""),20150001)</f>
        <v>20150001</v>
      </c>
      <c r="G1765" s="77" t="str">
        <f t="shared" ca="1" si="6"/>
        <v>si</v>
      </c>
    </row>
    <row r="1766" spans="1:7" ht="12.75" x14ac:dyDescent="0.2">
      <c r="A1766" s="62">
        <f ca="1">IFERROR(__xludf.DUMMYFUNCTION("""COMPUTED_VALUE"""),10010185)</f>
        <v>10010185</v>
      </c>
      <c r="B1766" s="62" t="str">
        <f ca="1">IFERROR(__xludf.DUMMYFUNCTION("""COMPUTED_VALUE"""),"PARLANTE Iphone 7P ")</f>
        <v xml:space="preserve">PARLANTE Iphone 7P </v>
      </c>
      <c r="C1766" s="75">
        <f ca="1">IFERROR(__xludf.DUMMYFUNCTION("""COMPUTED_VALUE"""),40)</f>
        <v>40</v>
      </c>
      <c r="D1766" s="75">
        <f ca="1">IFERROR(__xludf.DUMMYFUNCTION("""COMPUTED_VALUE"""),50)</f>
        <v>50</v>
      </c>
      <c r="E1766" s="76">
        <f ca="1">IFERROR(__xludf.DUMMYFUNCTION("""COMPUTED_VALUE"""),90)</f>
        <v>90</v>
      </c>
      <c r="F1766" s="77">
        <f ca="1">IFERROR(__xludf.DUMMYFUNCTION("""COMPUTED_VALUE"""),10010185)</f>
        <v>10010185</v>
      </c>
      <c r="G1766" s="77" t="str">
        <f t="shared" ca="1" si="6"/>
        <v>si</v>
      </c>
    </row>
    <row r="1767" spans="1:7" ht="12.75" x14ac:dyDescent="0.2">
      <c r="A1767" s="62">
        <f ca="1">IFERROR(__xludf.DUMMYFUNCTION("""COMPUTED_VALUE"""),10010203)</f>
        <v>10010203</v>
      </c>
      <c r="B1767" s="62" t="str">
        <f ca="1">IFERROR(__xludf.DUMMYFUNCTION("""COMPUTED_VALUE"""),"PARLANTE Iphone 7G")</f>
        <v>PARLANTE Iphone 7G</v>
      </c>
      <c r="C1767" s="75">
        <f ca="1">IFERROR(__xludf.DUMMYFUNCTION("""COMPUTED_VALUE"""),40)</f>
        <v>40</v>
      </c>
      <c r="D1767" s="75">
        <f ca="1">IFERROR(__xludf.DUMMYFUNCTION("""COMPUTED_VALUE"""),50)</f>
        <v>50</v>
      </c>
      <c r="E1767" s="76">
        <f ca="1">IFERROR(__xludf.DUMMYFUNCTION("""COMPUTED_VALUE"""),90)</f>
        <v>90</v>
      </c>
      <c r="F1767" s="77">
        <f ca="1">IFERROR(__xludf.DUMMYFUNCTION("""COMPUTED_VALUE"""),10010203)</f>
        <v>10010203</v>
      </c>
      <c r="G1767" s="77" t="str">
        <f t="shared" ca="1" si="6"/>
        <v>si</v>
      </c>
    </row>
    <row r="1768" spans="1:7" ht="12.75" x14ac:dyDescent="0.2">
      <c r="A1768" s="62">
        <f ca="1">IFERROR(__xludf.DUMMYFUNCTION("""COMPUTED_VALUE"""),10010372)</f>
        <v>10010372</v>
      </c>
      <c r="B1768" s="62" t="str">
        <f ca="1">IFERROR(__xludf.DUMMYFUNCTION("""COMPUTED_VALUE"""),"PARLANTE Iphone 6P")</f>
        <v>PARLANTE Iphone 6P</v>
      </c>
      <c r="C1768" s="75">
        <f ca="1">IFERROR(__xludf.DUMMYFUNCTION("""COMPUTED_VALUE"""),40)</f>
        <v>40</v>
      </c>
      <c r="D1768" s="75">
        <f ca="1">IFERROR(__xludf.DUMMYFUNCTION("""COMPUTED_VALUE"""),50)</f>
        <v>50</v>
      </c>
      <c r="E1768" s="76">
        <f ca="1">IFERROR(__xludf.DUMMYFUNCTION("""COMPUTED_VALUE"""),90)</f>
        <v>90</v>
      </c>
      <c r="F1768" s="77">
        <f ca="1">IFERROR(__xludf.DUMMYFUNCTION("""COMPUTED_VALUE"""),10010372)</f>
        <v>10010372</v>
      </c>
      <c r="G1768" s="77" t="str">
        <f t="shared" ca="1" si="6"/>
        <v>si</v>
      </c>
    </row>
    <row r="1769" spans="1:7" ht="12.75" x14ac:dyDescent="0.2">
      <c r="A1769" s="62">
        <f ca="1">IFERROR(__xludf.DUMMYFUNCTION("""COMPUTED_VALUE"""),10160140)</f>
        <v>10160140</v>
      </c>
      <c r="B1769" s="62" t="str">
        <f ca="1">IFERROR(__xludf.DUMMYFUNCTION("""COMPUTED_VALUE"""),"PARLANTE Ipad 3")</f>
        <v>PARLANTE Ipad 3</v>
      </c>
      <c r="C1769" s="75">
        <f ca="1">IFERROR(__xludf.DUMMYFUNCTION("""COMPUTED_VALUE"""),60)</f>
        <v>60</v>
      </c>
      <c r="D1769" s="75">
        <f ca="1">IFERROR(__xludf.DUMMYFUNCTION("""COMPUTED_VALUE"""),50)</f>
        <v>50</v>
      </c>
      <c r="E1769" s="76">
        <f ca="1">IFERROR(__xludf.DUMMYFUNCTION("""COMPUTED_VALUE"""),110)</f>
        <v>110</v>
      </c>
      <c r="F1769" s="77">
        <f ca="1">IFERROR(__xludf.DUMMYFUNCTION("""COMPUTED_VALUE"""),10160140)</f>
        <v>10160140</v>
      </c>
      <c r="G1769" s="77" t="str">
        <f t="shared" ca="1" si="6"/>
        <v>si</v>
      </c>
    </row>
    <row r="1770" spans="1:7" ht="12.75" x14ac:dyDescent="0.2">
      <c r="A1770" s="62">
        <f ca="1">IFERROR(__xludf.DUMMYFUNCTION("""COMPUTED_VALUE"""),10080171)</f>
        <v>10080171</v>
      </c>
      <c r="B1770" s="62" t="str">
        <f ca="1">IFERROR(__xludf.DUMMYFUNCTION("""COMPUTED_VALUE"""),"PARLANTE Ipad 5")</f>
        <v>PARLANTE Ipad 5</v>
      </c>
      <c r="C1770" s="75">
        <f ca="1">IFERROR(__xludf.DUMMYFUNCTION("""COMPUTED_VALUE"""),75)</f>
        <v>75</v>
      </c>
      <c r="D1770" s="75">
        <f ca="1">IFERROR(__xludf.DUMMYFUNCTION("""COMPUTED_VALUE"""),50)</f>
        <v>50</v>
      </c>
      <c r="E1770" s="76">
        <f ca="1">IFERROR(__xludf.DUMMYFUNCTION("""COMPUTED_VALUE"""),125)</f>
        <v>125</v>
      </c>
      <c r="F1770" s="77">
        <f ca="1">IFERROR(__xludf.DUMMYFUNCTION("""COMPUTED_VALUE"""),10080171)</f>
        <v>10080171</v>
      </c>
      <c r="G1770" s="77" t="str">
        <f t="shared" ca="1" si="6"/>
        <v>si</v>
      </c>
    </row>
    <row r="1771" spans="1:7" ht="12.75" x14ac:dyDescent="0.2">
      <c r="A1771" s="62">
        <f ca="1">IFERROR(__xludf.DUMMYFUNCTION("""COMPUTED_VALUE"""),10080170)</f>
        <v>10080170</v>
      </c>
      <c r="B1771" s="62" t="str">
        <f ca="1">IFERROR(__xludf.DUMMYFUNCTION("""COMPUTED_VALUE"""),"PARLANTE Ipad 4")</f>
        <v>PARLANTE Ipad 4</v>
      </c>
      <c r="C1771" s="75">
        <f ca="1">IFERROR(__xludf.DUMMYFUNCTION("""COMPUTED_VALUE"""),75)</f>
        <v>75</v>
      </c>
      <c r="D1771" s="75">
        <f ca="1">IFERROR(__xludf.DUMMYFUNCTION("""COMPUTED_VALUE"""),50)</f>
        <v>50</v>
      </c>
      <c r="E1771" s="76">
        <f ca="1">IFERROR(__xludf.DUMMYFUNCTION("""COMPUTED_VALUE"""),125)</f>
        <v>125</v>
      </c>
      <c r="F1771" s="77">
        <f ca="1">IFERROR(__xludf.DUMMYFUNCTION("""COMPUTED_VALUE"""),10080170)</f>
        <v>10080170</v>
      </c>
      <c r="G1771" s="77" t="str">
        <f t="shared" ca="1" si="6"/>
        <v>si</v>
      </c>
    </row>
    <row r="1772" spans="1:7" ht="12.75" x14ac:dyDescent="0.2">
      <c r="A1772" s="62">
        <f ca="1">IFERROR(__xludf.DUMMYFUNCTION("""COMPUTED_VALUE"""),10160141)</f>
        <v>10160141</v>
      </c>
      <c r="B1772" s="62" t="str">
        <f ca="1">IFERROR(__xludf.DUMMYFUNCTION("""COMPUTED_VALUE"""),"PARLANTE  Ipad 6")</f>
        <v>PARLANTE  Ipad 6</v>
      </c>
      <c r="C1772" s="75">
        <f ca="1">IFERROR(__xludf.DUMMYFUNCTION("""COMPUTED_VALUE"""),60)</f>
        <v>60</v>
      </c>
      <c r="D1772" s="75">
        <f ca="1">IFERROR(__xludf.DUMMYFUNCTION("""COMPUTED_VALUE"""),50)</f>
        <v>50</v>
      </c>
      <c r="E1772" s="76">
        <f ca="1">IFERROR(__xludf.DUMMYFUNCTION("""COMPUTED_VALUE"""),110)</f>
        <v>110</v>
      </c>
      <c r="F1772" s="77">
        <f ca="1">IFERROR(__xludf.DUMMYFUNCTION("""COMPUTED_VALUE"""),10160141)</f>
        <v>10160141</v>
      </c>
      <c r="G1772" s="77" t="str">
        <f t="shared" ca="1" si="6"/>
        <v>si</v>
      </c>
    </row>
    <row r="1773" spans="1:7" ht="12.75" x14ac:dyDescent="0.2">
      <c r="A1773" s="62">
        <f ca="1">IFERROR(__xludf.DUMMYFUNCTION("""COMPUTED_VALUE"""),10160142)</f>
        <v>10160142</v>
      </c>
      <c r="B1773" s="62" t="str">
        <f ca="1">IFERROR(__xludf.DUMMYFUNCTION("""COMPUTED_VALUE"""),"PARLANTE  Ipad Mini")</f>
        <v>PARLANTE  Ipad Mini</v>
      </c>
      <c r="C1773" s="75">
        <f ca="1">IFERROR(__xludf.DUMMYFUNCTION("""COMPUTED_VALUE"""),60)</f>
        <v>60</v>
      </c>
      <c r="D1773" s="75">
        <f ca="1">IFERROR(__xludf.DUMMYFUNCTION("""COMPUTED_VALUE"""),50)</f>
        <v>50</v>
      </c>
      <c r="E1773" s="76">
        <f ca="1">IFERROR(__xludf.DUMMYFUNCTION("""COMPUTED_VALUE"""),110)</f>
        <v>110</v>
      </c>
      <c r="F1773" s="77">
        <f ca="1">IFERROR(__xludf.DUMMYFUNCTION("""COMPUTED_VALUE"""),10160142)</f>
        <v>10160142</v>
      </c>
      <c r="G1773" s="77" t="str">
        <f t="shared" ca="1" si="6"/>
        <v>si</v>
      </c>
    </row>
    <row r="1774" spans="1:7" ht="12.75" x14ac:dyDescent="0.2">
      <c r="A1774" s="62">
        <f ca="1">IFERROR(__xludf.DUMMYFUNCTION("""COMPUTED_VALUE"""),10160143)</f>
        <v>10160143</v>
      </c>
      <c r="B1774" s="62" t="str">
        <f ca="1">IFERROR(__xludf.DUMMYFUNCTION("""COMPUTED_VALUE"""),"PARLANTE  Ipad Mini 4")</f>
        <v>PARLANTE  Ipad Mini 4</v>
      </c>
      <c r="C1774" s="75">
        <f ca="1">IFERROR(__xludf.DUMMYFUNCTION("""COMPUTED_VALUE"""),60)</f>
        <v>60</v>
      </c>
      <c r="D1774" s="75">
        <f ca="1">IFERROR(__xludf.DUMMYFUNCTION("""COMPUTED_VALUE"""),50)</f>
        <v>50</v>
      </c>
      <c r="E1774" s="76">
        <f ca="1">IFERROR(__xludf.DUMMYFUNCTION("""COMPUTED_VALUE"""),110)</f>
        <v>110</v>
      </c>
      <c r="F1774" s="77">
        <f ca="1">IFERROR(__xludf.DUMMYFUNCTION("""COMPUTED_VALUE"""),10160143)</f>
        <v>10160143</v>
      </c>
      <c r="G1774" s="77" t="str">
        <f t="shared" ca="1" si="6"/>
        <v>si</v>
      </c>
    </row>
    <row r="1775" spans="1:7" ht="12.75" x14ac:dyDescent="0.2">
      <c r="A1775" s="62">
        <f ca="1">IFERROR(__xludf.DUMMYFUNCTION("""COMPUTED_VALUE"""),10160287)</f>
        <v>10160287</v>
      </c>
      <c r="B1775" s="62" t="str">
        <f ca="1">IFERROR(__xludf.DUMMYFUNCTION("""COMPUTED_VALUE"""),"PARLANTE Alta Voz Samsung Note 10")</f>
        <v>PARLANTE Alta Voz Samsung Note 10</v>
      </c>
      <c r="C1775" s="75">
        <f ca="1">IFERROR(__xludf.DUMMYFUNCTION("""COMPUTED_VALUE"""),90)</f>
        <v>90</v>
      </c>
      <c r="D1775" s="75">
        <f ca="1">IFERROR(__xludf.DUMMYFUNCTION("""COMPUTED_VALUE"""),50)</f>
        <v>50</v>
      </c>
      <c r="E1775" s="76">
        <f ca="1">IFERROR(__xludf.DUMMYFUNCTION("""COMPUTED_VALUE"""),140)</f>
        <v>140</v>
      </c>
      <c r="F1775" s="77">
        <f ca="1">IFERROR(__xludf.DUMMYFUNCTION("""COMPUTED_VALUE"""),10160287)</f>
        <v>10160287</v>
      </c>
      <c r="G1775" s="77" t="str">
        <f t="shared" ca="1" si="6"/>
        <v>si</v>
      </c>
    </row>
    <row r="1776" spans="1:7" ht="12.75" x14ac:dyDescent="0.2">
      <c r="A1776" s="62">
        <f ca="1">IFERROR(__xludf.DUMMYFUNCTION("""COMPUTED_VALUE"""),10160288)</f>
        <v>10160288</v>
      </c>
      <c r="B1776" s="62" t="str">
        <f ca="1">IFERROR(__xludf.DUMMYFUNCTION("""COMPUTED_VALUE"""),"PARLANTE Alta Voz Samsung s10 plus")</f>
        <v>PARLANTE Alta Voz Samsung s10 plus</v>
      </c>
      <c r="C1776" s="75">
        <f ca="1">IFERROR(__xludf.DUMMYFUNCTION("""COMPUTED_VALUE"""),90)</f>
        <v>90</v>
      </c>
      <c r="D1776" s="75">
        <f ca="1">IFERROR(__xludf.DUMMYFUNCTION("""COMPUTED_VALUE"""),50)</f>
        <v>50</v>
      </c>
      <c r="E1776" s="76">
        <f ca="1">IFERROR(__xludf.DUMMYFUNCTION("""COMPUTED_VALUE"""),140)</f>
        <v>140</v>
      </c>
      <c r="F1776" s="77">
        <f ca="1">IFERROR(__xludf.DUMMYFUNCTION("""COMPUTED_VALUE"""),10160288)</f>
        <v>10160288</v>
      </c>
      <c r="G1776" s="77" t="str">
        <f t="shared" ca="1" si="6"/>
        <v>si</v>
      </c>
    </row>
    <row r="1777" spans="1:7" ht="12.75" x14ac:dyDescent="0.2">
      <c r="A1777" s="62">
        <f ca="1">IFERROR(__xludf.DUMMYFUNCTION("""COMPUTED_VALUE"""),10160289)</f>
        <v>10160289</v>
      </c>
      <c r="B1777" s="62" t="str">
        <f ca="1">IFERROR(__xludf.DUMMYFUNCTION("""COMPUTED_VALUE"""),"PARLANTE Alta Voz Samsung s10")</f>
        <v>PARLANTE Alta Voz Samsung s10</v>
      </c>
      <c r="C1777" s="75">
        <f ca="1">IFERROR(__xludf.DUMMYFUNCTION("""COMPUTED_VALUE"""),90)</f>
        <v>90</v>
      </c>
      <c r="D1777" s="75">
        <f ca="1">IFERROR(__xludf.DUMMYFUNCTION("""COMPUTED_VALUE"""),50)</f>
        <v>50</v>
      </c>
      <c r="E1777" s="76">
        <f ca="1">IFERROR(__xludf.DUMMYFUNCTION("""COMPUTED_VALUE"""),140)</f>
        <v>140</v>
      </c>
      <c r="F1777" s="77">
        <f ca="1">IFERROR(__xludf.DUMMYFUNCTION("""COMPUTED_VALUE"""),10160289)</f>
        <v>10160289</v>
      </c>
      <c r="G1777" s="77" t="str">
        <f t="shared" ca="1" si="6"/>
        <v>si</v>
      </c>
    </row>
    <row r="1778" spans="1:7" ht="12.75" x14ac:dyDescent="0.2">
      <c r="A1778" s="62">
        <f ca="1">IFERROR(__xludf.DUMMYFUNCTION("""COMPUTED_VALUE"""),10160290)</f>
        <v>10160290</v>
      </c>
      <c r="B1778" s="62" t="str">
        <f ca="1">IFERROR(__xludf.DUMMYFUNCTION("""COMPUTED_VALUE"""),"PARLANTE Alta Voz Samsung Note 9")</f>
        <v>PARLANTE Alta Voz Samsung Note 9</v>
      </c>
      <c r="C1778" s="75">
        <f ca="1">IFERROR(__xludf.DUMMYFUNCTION("""COMPUTED_VALUE"""),90)</f>
        <v>90</v>
      </c>
      <c r="D1778" s="75">
        <f ca="1">IFERROR(__xludf.DUMMYFUNCTION("""COMPUTED_VALUE"""),50)</f>
        <v>50</v>
      </c>
      <c r="E1778" s="76">
        <f ca="1">IFERROR(__xludf.DUMMYFUNCTION("""COMPUTED_VALUE"""),140)</f>
        <v>140</v>
      </c>
      <c r="F1778" s="77">
        <f ca="1">IFERROR(__xludf.DUMMYFUNCTION("""COMPUTED_VALUE"""),10160290)</f>
        <v>10160290</v>
      </c>
      <c r="G1778" s="77" t="str">
        <f t="shared" ca="1" si="6"/>
        <v>si</v>
      </c>
    </row>
    <row r="1779" spans="1:7" ht="12.75" x14ac:dyDescent="0.2">
      <c r="A1779" s="62">
        <f ca="1">IFERROR(__xludf.DUMMYFUNCTION("""COMPUTED_VALUE"""),10160291)</f>
        <v>10160291</v>
      </c>
      <c r="B1779" s="62" t="str">
        <f ca="1">IFERROR(__xludf.DUMMYFUNCTION("""COMPUTED_VALUE"""),"PARLANTE Alta Voz Samsung Note 8")</f>
        <v>PARLANTE Alta Voz Samsung Note 8</v>
      </c>
      <c r="C1779" s="75">
        <f ca="1">IFERROR(__xludf.DUMMYFUNCTION("""COMPUTED_VALUE"""),90)</f>
        <v>90</v>
      </c>
      <c r="D1779" s="75">
        <f ca="1">IFERROR(__xludf.DUMMYFUNCTION("""COMPUTED_VALUE"""),50)</f>
        <v>50</v>
      </c>
      <c r="E1779" s="76">
        <f ca="1">IFERROR(__xludf.DUMMYFUNCTION("""COMPUTED_VALUE"""),140)</f>
        <v>140</v>
      </c>
      <c r="F1779" s="77">
        <f ca="1">IFERROR(__xludf.DUMMYFUNCTION("""COMPUTED_VALUE"""),10160291)</f>
        <v>10160291</v>
      </c>
      <c r="G1779" s="77" t="str">
        <f t="shared" ca="1" si="6"/>
        <v>si</v>
      </c>
    </row>
    <row r="1780" spans="1:7" ht="12.75" x14ac:dyDescent="0.2">
      <c r="A1780" s="62">
        <f ca="1">IFERROR(__xludf.DUMMYFUNCTION("""COMPUTED_VALUE"""),10160292)</f>
        <v>10160292</v>
      </c>
      <c r="B1780" s="62" t="str">
        <f ca="1">IFERROR(__xludf.DUMMYFUNCTION("""COMPUTED_VALUE"""),"PARLANTE Alta Voz Samsung Note 20")</f>
        <v>PARLANTE Alta Voz Samsung Note 20</v>
      </c>
      <c r="C1780" s="75">
        <f ca="1">IFERROR(__xludf.DUMMYFUNCTION("""COMPUTED_VALUE"""),90)</f>
        <v>90</v>
      </c>
      <c r="D1780" s="75">
        <f ca="1">IFERROR(__xludf.DUMMYFUNCTION("""COMPUTED_VALUE"""),50)</f>
        <v>50</v>
      </c>
      <c r="E1780" s="76">
        <f ca="1">IFERROR(__xludf.DUMMYFUNCTION("""COMPUTED_VALUE"""),140)</f>
        <v>140</v>
      </c>
      <c r="F1780" s="77">
        <f ca="1">IFERROR(__xludf.DUMMYFUNCTION("""COMPUTED_VALUE"""),10160292)</f>
        <v>10160292</v>
      </c>
      <c r="G1780" s="77" t="str">
        <f t="shared" ca="1" si="6"/>
        <v>si</v>
      </c>
    </row>
    <row r="1781" spans="1:7" ht="12.75" x14ac:dyDescent="0.2">
      <c r="A1781" s="62">
        <f ca="1">IFERROR(__xludf.DUMMYFUNCTION("""COMPUTED_VALUE"""),10160293)</f>
        <v>10160293</v>
      </c>
      <c r="B1781" s="62" t="str">
        <f ca="1">IFERROR(__xludf.DUMMYFUNCTION("""COMPUTED_VALUE"""),"PARLANTE Alta Voz Samsung Note 10 plus")</f>
        <v>PARLANTE Alta Voz Samsung Note 10 plus</v>
      </c>
      <c r="C1781" s="75">
        <f ca="1">IFERROR(__xludf.DUMMYFUNCTION("""COMPUTED_VALUE"""),90)</f>
        <v>90</v>
      </c>
      <c r="D1781" s="75">
        <f ca="1">IFERROR(__xludf.DUMMYFUNCTION("""COMPUTED_VALUE"""),50)</f>
        <v>50</v>
      </c>
      <c r="E1781" s="76">
        <f ca="1">IFERROR(__xludf.DUMMYFUNCTION("""COMPUTED_VALUE"""),140)</f>
        <v>140</v>
      </c>
      <c r="F1781" s="77">
        <f ca="1">IFERROR(__xludf.DUMMYFUNCTION("""COMPUTED_VALUE"""),10160293)</f>
        <v>10160293</v>
      </c>
      <c r="G1781" s="77" t="str">
        <f t="shared" ca="1" si="6"/>
        <v>si</v>
      </c>
    </row>
    <row r="1782" spans="1:7" ht="12.75" x14ac:dyDescent="0.2">
      <c r="A1782" s="62">
        <f ca="1">IFERROR(__xludf.DUMMYFUNCTION("""COMPUTED_VALUE"""),10160294)</f>
        <v>10160294</v>
      </c>
      <c r="B1782" s="62" t="str">
        <f ca="1">IFERROR(__xludf.DUMMYFUNCTION("""COMPUTED_VALUE"""),"PARLANTE Alta Voz Samsung Note 20 plus")</f>
        <v>PARLANTE Alta Voz Samsung Note 20 plus</v>
      </c>
      <c r="C1782" s="75">
        <f ca="1">IFERROR(__xludf.DUMMYFUNCTION("""COMPUTED_VALUE"""),140)</f>
        <v>140</v>
      </c>
      <c r="D1782" s="75">
        <f ca="1">IFERROR(__xludf.DUMMYFUNCTION("""COMPUTED_VALUE"""),50)</f>
        <v>50</v>
      </c>
      <c r="E1782" s="76">
        <f ca="1">IFERROR(__xludf.DUMMYFUNCTION("""COMPUTED_VALUE"""),190)</f>
        <v>190</v>
      </c>
      <c r="F1782" s="77">
        <f ca="1">IFERROR(__xludf.DUMMYFUNCTION("""COMPUTED_VALUE"""),10160294)</f>
        <v>10160294</v>
      </c>
      <c r="G1782" s="77" t="str">
        <f t="shared" ca="1" si="6"/>
        <v>si</v>
      </c>
    </row>
    <row r="1783" spans="1:7" ht="12.75" x14ac:dyDescent="0.2">
      <c r="A1783" s="62">
        <f ca="1">IFERROR(__xludf.DUMMYFUNCTION("""COMPUTED_VALUE"""),10160295)</f>
        <v>10160295</v>
      </c>
      <c r="B1783" s="62" t="str">
        <f ca="1">IFERROR(__xludf.DUMMYFUNCTION("""COMPUTED_VALUE"""),"PARLANTE Alta Voz Samsung s10e")</f>
        <v>PARLANTE Alta Voz Samsung s10e</v>
      </c>
      <c r="C1783" s="75">
        <f ca="1">IFERROR(__xludf.DUMMYFUNCTION("""COMPUTED_VALUE"""),90)</f>
        <v>90</v>
      </c>
      <c r="D1783" s="75">
        <f ca="1">IFERROR(__xludf.DUMMYFUNCTION("""COMPUTED_VALUE"""),50)</f>
        <v>50</v>
      </c>
      <c r="E1783" s="76">
        <f ca="1">IFERROR(__xludf.DUMMYFUNCTION("""COMPUTED_VALUE"""),140)</f>
        <v>140</v>
      </c>
      <c r="F1783" s="77">
        <f ca="1">IFERROR(__xludf.DUMMYFUNCTION("""COMPUTED_VALUE"""),10160295)</f>
        <v>10160295</v>
      </c>
      <c r="G1783" s="77" t="str">
        <f t="shared" ca="1" si="6"/>
        <v>si</v>
      </c>
    </row>
    <row r="1784" spans="1:7" ht="12.75" x14ac:dyDescent="0.2">
      <c r="A1784" s="62">
        <f ca="1">IFERROR(__xludf.DUMMYFUNCTION("""COMPUTED_VALUE"""),10160296)</f>
        <v>10160296</v>
      </c>
      <c r="B1784" s="62" t="str">
        <f ca="1">IFERROR(__xludf.DUMMYFUNCTION("""COMPUTED_VALUE"""),"PARLANTE Alta Voz Samsung s9")</f>
        <v>PARLANTE Alta Voz Samsung s9</v>
      </c>
      <c r="C1784" s="75">
        <f ca="1">IFERROR(__xludf.DUMMYFUNCTION("""COMPUTED_VALUE"""),90)</f>
        <v>90</v>
      </c>
      <c r="D1784" s="75">
        <f ca="1">IFERROR(__xludf.DUMMYFUNCTION("""COMPUTED_VALUE"""),50)</f>
        <v>50</v>
      </c>
      <c r="E1784" s="76">
        <f ca="1">IFERROR(__xludf.DUMMYFUNCTION("""COMPUTED_VALUE"""),140)</f>
        <v>140</v>
      </c>
      <c r="F1784" s="77">
        <f ca="1">IFERROR(__xludf.DUMMYFUNCTION("""COMPUTED_VALUE"""),10160296)</f>
        <v>10160296</v>
      </c>
      <c r="G1784" s="77" t="str">
        <f t="shared" ca="1" si="6"/>
        <v>si</v>
      </c>
    </row>
    <row r="1785" spans="1:7" ht="12.75" x14ac:dyDescent="0.2">
      <c r="A1785" s="62">
        <f ca="1">IFERROR(__xludf.DUMMYFUNCTION("""COMPUTED_VALUE"""),10160297)</f>
        <v>10160297</v>
      </c>
      <c r="B1785" s="62" t="str">
        <f ca="1">IFERROR(__xludf.DUMMYFUNCTION("""COMPUTED_VALUE"""),"PARLANTE Alta Voz Samsung s9 plus")</f>
        <v>PARLANTE Alta Voz Samsung s9 plus</v>
      </c>
      <c r="C1785" s="75">
        <f ca="1">IFERROR(__xludf.DUMMYFUNCTION("""COMPUTED_VALUE"""),90)</f>
        <v>90</v>
      </c>
      <c r="D1785" s="75">
        <f ca="1">IFERROR(__xludf.DUMMYFUNCTION("""COMPUTED_VALUE"""),50)</f>
        <v>50</v>
      </c>
      <c r="E1785" s="76">
        <f ca="1">IFERROR(__xludf.DUMMYFUNCTION("""COMPUTED_VALUE"""),140)</f>
        <v>140</v>
      </c>
      <c r="F1785" s="77">
        <f ca="1">IFERROR(__xludf.DUMMYFUNCTION("""COMPUTED_VALUE"""),10160297)</f>
        <v>10160297</v>
      </c>
      <c r="G1785" s="77" t="str">
        <f t="shared" ca="1" si="6"/>
        <v>si</v>
      </c>
    </row>
    <row r="1786" spans="1:7" ht="12.75" x14ac:dyDescent="0.2">
      <c r="A1786" s="62">
        <f ca="1">IFERROR(__xludf.DUMMYFUNCTION("""COMPUTED_VALUE"""),10160298)</f>
        <v>10160298</v>
      </c>
      <c r="B1786" s="62" t="str">
        <f ca="1">IFERROR(__xludf.DUMMYFUNCTION("""COMPUTED_VALUE"""),"PARLANTE Alta Voz Samsung s10 lite")</f>
        <v>PARLANTE Alta Voz Samsung s10 lite</v>
      </c>
      <c r="C1786" s="75">
        <f ca="1">IFERROR(__xludf.DUMMYFUNCTION("""COMPUTED_VALUE"""),90)</f>
        <v>90</v>
      </c>
      <c r="D1786" s="75">
        <f ca="1">IFERROR(__xludf.DUMMYFUNCTION("""COMPUTED_VALUE"""),50)</f>
        <v>50</v>
      </c>
      <c r="E1786" s="76">
        <f ca="1">IFERROR(__xludf.DUMMYFUNCTION("""COMPUTED_VALUE"""),140)</f>
        <v>140</v>
      </c>
      <c r="F1786" s="77">
        <f ca="1">IFERROR(__xludf.DUMMYFUNCTION("""COMPUTED_VALUE"""),10160298)</f>
        <v>10160298</v>
      </c>
      <c r="G1786" s="77" t="str">
        <f t="shared" ca="1" si="6"/>
        <v>si</v>
      </c>
    </row>
    <row r="1787" spans="1:7" ht="12.75" x14ac:dyDescent="0.2">
      <c r="A1787" s="62">
        <f ca="1">IFERROR(__xludf.DUMMYFUNCTION("""COMPUTED_VALUE"""),10160299)</f>
        <v>10160299</v>
      </c>
      <c r="B1787" s="62" t="str">
        <f ca="1">IFERROR(__xludf.DUMMYFUNCTION("""COMPUTED_VALUE"""),"PARLANTE Alta Voz Samsung s20")</f>
        <v>PARLANTE Alta Voz Samsung s20</v>
      </c>
      <c r="C1787" s="75">
        <f ca="1">IFERROR(__xludf.DUMMYFUNCTION("""COMPUTED_VALUE"""),90)</f>
        <v>90</v>
      </c>
      <c r="D1787" s="75">
        <f ca="1">IFERROR(__xludf.DUMMYFUNCTION("""COMPUTED_VALUE"""),50)</f>
        <v>50</v>
      </c>
      <c r="E1787" s="76">
        <f ca="1">IFERROR(__xludf.DUMMYFUNCTION("""COMPUTED_VALUE"""),140)</f>
        <v>140</v>
      </c>
      <c r="F1787" s="77">
        <f ca="1">IFERROR(__xludf.DUMMYFUNCTION("""COMPUTED_VALUE"""),10160299)</f>
        <v>10160299</v>
      </c>
      <c r="G1787" s="77" t="str">
        <f t="shared" ref="G1787:G2041" ca="1" si="7">IF(F1787=A1787,"si","no")</f>
        <v>si</v>
      </c>
    </row>
    <row r="1788" spans="1:7" ht="12.75" x14ac:dyDescent="0.2">
      <c r="A1788" s="62">
        <f ca="1">IFERROR(__xludf.DUMMYFUNCTION("""COMPUTED_VALUE"""),10160300)</f>
        <v>10160300</v>
      </c>
      <c r="B1788" s="62" t="str">
        <f ca="1">IFERROR(__xludf.DUMMYFUNCTION("""COMPUTED_VALUE"""),"PARLANTE Alta Voz Samsung s20 plus")</f>
        <v>PARLANTE Alta Voz Samsung s20 plus</v>
      </c>
      <c r="C1788" s="75">
        <f ca="1">IFERROR(__xludf.DUMMYFUNCTION("""COMPUTED_VALUE"""),90)</f>
        <v>90</v>
      </c>
      <c r="D1788" s="75">
        <f ca="1">IFERROR(__xludf.DUMMYFUNCTION("""COMPUTED_VALUE"""),50)</f>
        <v>50</v>
      </c>
      <c r="E1788" s="76">
        <f ca="1">IFERROR(__xludf.DUMMYFUNCTION("""COMPUTED_VALUE"""),140)</f>
        <v>140</v>
      </c>
      <c r="F1788" s="77">
        <f ca="1">IFERROR(__xludf.DUMMYFUNCTION("""COMPUTED_VALUE"""),10160300)</f>
        <v>10160300</v>
      </c>
      <c r="G1788" s="77" t="str">
        <f t="shared" ca="1" si="7"/>
        <v>si</v>
      </c>
    </row>
    <row r="1789" spans="1:7" ht="12.75" x14ac:dyDescent="0.2">
      <c r="A1789" s="62">
        <f ca="1">IFERROR(__xludf.DUMMYFUNCTION("""COMPUTED_VALUE"""),10160301)</f>
        <v>10160301</v>
      </c>
      <c r="B1789" s="62" t="str">
        <f ca="1">IFERROR(__xludf.DUMMYFUNCTION("""COMPUTED_VALUE"""),"PARLANTE Alta Voz Samsung s20 ultra")</f>
        <v>PARLANTE Alta Voz Samsung s20 ultra</v>
      </c>
      <c r="C1789" s="75">
        <f ca="1">IFERROR(__xludf.DUMMYFUNCTION("""COMPUTED_VALUE"""),90)</f>
        <v>90</v>
      </c>
      <c r="D1789" s="75">
        <f ca="1">IFERROR(__xludf.DUMMYFUNCTION("""COMPUTED_VALUE"""),50)</f>
        <v>50</v>
      </c>
      <c r="E1789" s="76">
        <f ca="1">IFERROR(__xludf.DUMMYFUNCTION("""COMPUTED_VALUE"""),140)</f>
        <v>140</v>
      </c>
      <c r="F1789" s="77">
        <f ca="1">IFERROR(__xludf.DUMMYFUNCTION("""COMPUTED_VALUE"""),10160301)</f>
        <v>10160301</v>
      </c>
      <c r="G1789" s="77" t="str">
        <f t="shared" ca="1" si="7"/>
        <v>si</v>
      </c>
    </row>
    <row r="1790" spans="1:7" ht="12.75" x14ac:dyDescent="0.2">
      <c r="A1790" s="62">
        <f ca="1">IFERROR(__xludf.DUMMYFUNCTION("""COMPUTED_VALUE"""),10160302)</f>
        <v>10160302</v>
      </c>
      <c r="B1790" s="62" t="str">
        <f ca="1">IFERROR(__xludf.DUMMYFUNCTION("""COMPUTED_VALUE"""),"PARLANTE Alta Voz Samsung s21")</f>
        <v>PARLANTE Alta Voz Samsung s21</v>
      </c>
      <c r="C1790" s="75">
        <f ca="1">IFERROR(__xludf.DUMMYFUNCTION("""COMPUTED_VALUE"""),90)</f>
        <v>90</v>
      </c>
      <c r="D1790" s="75">
        <f ca="1">IFERROR(__xludf.DUMMYFUNCTION("""COMPUTED_VALUE"""),50)</f>
        <v>50</v>
      </c>
      <c r="E1790" s="76">
        <f ca="1">IFERROR(__xludf.DUMMYFUNCTION("""COMPUTED_VALUE"""),140)</f>
        <v>140</v>
      </c>
      <c r="F1790" s="77">
        <f ca="1">IFERROR(__xludf.DUMMYFUNCTION("""COMPUTED_VALUE"""),10160302)</f>
        <v>10160302</v>
      </c>
      <c r="G1790" s="77" t="str">
        <f t="shared" ca="1" si="7"/>
        <v>si</v>
      </c>
    </row>
    <row r="1791" spans="1:7" ht="12.75" x14ac:dyDescent="0.2">
      <c r="A1791" s="62">
        <f ca="1">IFERROR(__xludf.DUMMYFUNCTION("""COMPUTED_VALUE"""),10160303)</f>
        <v>10160303</v>
      </c>
      <c r="B1791" s="62" t="str">
        <f ca="1">IFERROR(__xludf.DUMMYFUNCTION("""COMPUTED_VALUE"""),"PARLANTE Alta Voz Samsung s21 plus")</f>
        <v>PARLANTE Alta Voz Samsung s21 plus</v>
      </c>
      <c r="C1791" s="75">
        <f ca="1">IFERROR(__xludf.DUMMYFUNCTION("""COMPUTED_VALUE"""),90)</f>
        <v>90</v>
      </c>
      <c r="D1791" s="75">
        <f ca="1">IFERROR(__xludf.DUMMYFUNCTION("""COMPUTED_VALUE"""),50)</f>
        <v>50</v>
      </c>
      <c r="E1791" s="76">
        <f ca="1">IFERROR(__xludf.DUMMYFUNCTION("""COMPUTED_VALUE"""),140)</f>
        <v>140</v>
      </c>
      <c r="F1791" s="77">
        <f ca="1">IFERROR(__xludf.DUMMYFUNCTION("""COMPUTED_VALUE"""),10160303)</f>
        <v>10160303</v>
      </c>
      <c r="G1791" s="77" t="str">
        <f t="shared" ca="1" si="7"/>
        <v>si</v>
      </c>
    </row>
    <row r="1792" spans="1:7" ht="12.75" x14ac:dyDescent="0.2">
      <c r="A1792" s="62">
        <f ca="1">IFERROR(__xludf.DUMMYFUNCTION("""COMPUTED_VALUE"""),10160304)</f>
        <v>10160304</v>
      </c>
      <c r="B1792" s="62" t="str">
        <f ca="1">IFERROR(__xludf.DUMMYFUNCTION("""COMPUTED_VALUE"""),"PARLANTE Alta Voz Samsung s21 ultra")</f>
        <v>PARLANTE Alta Voz Samsung s21 ultra</v>
      </c>
      <c r="C1792" s="75">
        <f ca="1">IFERROR(__xludf.DUMMYFUNCTION("""COMPUTED_VALUE"""),90)</f>
        <v>90</v>
      </c>
      <c r="D1792" s="75">
        <f ca="1">IFERROR(__xludf.DUMMYFUNCTION("""COMPUTED_VALUE"""),50)</f>
        <v>50</v>
      </c>
      <c r="E1792" s="76">
        <f ca="1">IFERROR(__xludf.DUMMYFUNCTION("""COMPUTED_VALUE"""),140)</f>
        <v>140</v>
      </c>
      <c r="F1792" s="77">
        <f ca="1">IFERROR(__xludf.DUMMYFUNCTION("""COMPUTED_VALUE"""),10160304)</f>
        <v>10160304</v>
      </c>
      <c r="G1792" s="77" t="str">
        <f t="shared" ca="1" si="7"/>
        <v>si</v>
      </c>
    </row>
    <row r="1793" spans="1:7" ht="12.75" x14ac:dyDescent="0.2">
      <c r="A1793" s="62">
        <f ca="1">IFERROR(__xludf.DUMMYFUNCTION("""COMPUTED_VALUE"""),10160305)</f>
        <v>10160305</v>
      </c>
      <c r="B1793" s="62" t="str">
        <f ca="1">IFERROR(__xludf.DUMMYFUNCTION("""COMPUTED_VALUE"""),"PARLANTE Alta Voz Samsung A32 4G / A32 5G")</f>
        <v>PARLANTE Alta Voz Samsung A32 4G / A32 5G</v>
      </c>
      <c r="C1793" s="75">
        <f ca="1">IFERROR(__xludf.DUMMYFUNCTION("""COMPUTED_VALUE"""),90)</f>
        <v>90</v>
      </c>
      <c r="D1793" s="75">
        <f ca="1">IFERROR(__xludf.DUMMYFUNCTION("""COMPUTED_VALUE"""),50)</f>
        <v>50</v>
      </c>
      <c r="E1793" s="76">
        <f ca="1">IFERROR(__xludf.DUMMYFUNCTION("""COMPUTED_VALUE"""),140)</f>
        <v>140</v>
      </c>
      <c r="F1793" s="77">
        <f ca="1">IFERROR(__xludf.DUMMYFUNCTION("""COMPUTED_VALUE"""),10160305)</f>
        <v>10160305</v>
      </c>
      <c r="G1793" s="77" t="str">
        <f t="shared" ca="1" si="7"/>
        <v>si</v>
      </c>
    </row>
    <row r="1794" spans="1:7" ht="12.75" x14ac:dyDescent="0.2">
      <c r="A1794" s="62">
        <f ca="1">IFERROR(__xludf.DUMMYFUNCTION("""COMPUTED_VALUE"""),10160306)</f>
        <v>10160306</v>
      </c>
      <c r="B1794" s="62"/>
      <c r="C1794" s="75">
        <f ca="1">IFERROR(__xludf.DUMMYFUNCTION("""COMPUTED_VALUE"""),90)</f>
        <v>90</v>
      </c>
      <c r="D1794" s="75">
        <f ca="1">IFERROR(__xludf.DUMMYFUNCTION("""COMPUTED_VALUE"""),50)</f>
        <v>50</v>
      </c>
      <c r="E1794" s="76">
        <f ca="1">IFERROR(__xludf.DUMMYFUNCTION("""COMPUTED_VALUE"""),140)</f>
        <v>140</v>
      </c>
      <c r="F1794" s="77">
        <f ca="1">IFERROR(__xludf.DUMMYFUNCTION("""COMPUTED_VALUE"""),10160306)</f>
        <v>10160306</v>
      </c>
      <c r="G1794" s="77" t="str">
        <f t="shared" ca="1" si="7"/>
        <v>si</v>
      </c>
    </row>
    <row r="1795" spans="1:7" ht="12.75" x14ac:dyDescent="0.2">
      <c r="A1795" s="62">
        <f ca="1">IFERROR(__xludf.DUMMYFUNCTION("""COMPUTED_VALUE"""),10160307)</f>
        <v>10160307</v>
      </c>
      <c r="B1795" s="62" t="str">
        <f ca="1">IFERROR(__xludf.DUMMYFUNCTION("""COMPUTED_VALUE"""),"PARLANTE Alta Voz Samsung a52 4g")</f>
        <v>PARLANTE Alta Voz Samsung a52 4g</v>
      </c>
      <c r="C1795" s="75">
        <f ca="1">IFERROR(__xludf.DUMMYFUNCTION("""COMPUTED_VALUE"""),90)</f>
        <v>90</v>
      </c>
      <c r="D1795" s="75">
        <f ca="1">IFERROR(__xludf.DUMMYFUNCTION("""COMPUTED_VALUE"""),50)</f>
        <v>50</v>
      </c>
      <c r="E1795" s="76">
        <f ca="1">IFERROR(__xludf.DUMMYFUNCTION("""COMPUTED_VALUE"""),140)</f>
        <v>140</v>
      </c>
      <c r="F1795" s="77">
        <f ca="1">IFERROR(__xludf.DUMMYFUNCTION("""COMPUTED_VALUE"""),10160307)</f>
        <v>10160307</v>
      </c>
      <c r="G1795" s="77" t="str">
        <f t="shared" ca="1" si="7"/>
        <v>si</v>
      </c>
    </row>
    <row r="1796" spans="1:7" ht="12.75" x14ac:dyDescent="0.2">
      <c r="A1796" s="62">
        <f ca="1">IFERROR(__xludf.DUMMYFUNCTION("""COMPUTED_VALUE"""),10160308)</f>
        <v>10160308</v>
      </c>
      <c r="B1796" s="62" t="str">
        <f ca="1">IFERROR(__xludf.DUMMYFUNCTION("""COMPUTED_VALUE"""),"PARLANTE Alta Voz Samsung a52 5g")</f>
        <v>PARLANTE Alta Voz Samsung a52 5g</v>
      </c>
      <c r="C1796" s="75">
        <f ca="1">IFERROR(__xludf.DUMMYFUNCTION("""COMPUTED_VALUE"""),90)</f>
        <v>90</v>
      </c>
      <c r="D1796" s="75">
        <f ca="1">IFERROR(__xludf.DUMMYFUNCTION("""COMPUTED_VALUE"""),50)</f>
        <v>50</v>
      </c>
      <c r="E1796" s="76">
        <f ca="1">IFERROR(__xludf.DUMMYFUNCTION("""COMPUTED_VALUE"""),140)</f>
        <v>140</v>
      </c>
      <c r="F1796" s="77">
        <f ca="1">IFERROR(__xludf.DUMMYFUNCTION("""COMPUTED_VALUE"""),10160308)</f>
        <v>10160308</v>
      </c>
      <c r="G1796" s="77" t="str">
        <f t="shared" ca="1" si="7"/>
        <v>si</v>
      </c>
    </row>
    <row r="1797" spans="1:7" ht="12.75" x14ac:dyDescent="0.2">
      <c r="A1797" s="62">
        <f ca="1">IFERROR(__xludf.DUMMYFUNCTION("""COMPUTED_VALUE"""),10160309)</f>
        <v>10160309</v>
      </c>
      <c r="B1797" s="62" t="str">
        <f ca="1">IFERROR(__xludf.DUMMYFUNCTION("""COMPUTED_VALUE"""),"PARLANTEAlta Voz Samsung a72 4g")</f>
        <v>PARLANTEAlta Voz Samsung a72 4g</v>
      </c>
      <c r="C1797" s="75">
        <f ca="1">IFERROR(__xludf.DUMMYFUNCTION("""COMPUTED_VALUE"""),90)</f>
        <v>90</v>
      </c>
      <c r="D1797" s="75">
        <f ca="1">IFERROR(__xludf.DUMMYFUNCTION("""COMPUTED_VALUE"""),50)</f>
        <v>50</v>
      </c>
      <c r="E1797" s="76">
        <f ca="1">IFERROR(__xludf.DUMMYFUNCTION("""COMPUTED_VALUE"""),140)</f>
        <v>140</v>
      </c>
      <c r="F1797" s="77">
        <f ca="1">IFERROR(__xludf.DUMMYFUNCTION("""COMPUTED_VALUE"""),10160309)</f>
        <v>10160309</v>
      </c>
      <c r="G1797" s="77" t="str">
        <f t="shared" ca="1" si="7"/>
        <v>si</v>
      </c>
    </row>
    <row r="1798" spans="1:7" ht="12.75" x14ac:dyDescent="0.2">
      <c r="A1798" s="62">
        <f ca="1">IFERROR(__xludf.DUMMYFUNCTION("""COMPUTED_VALUE"""),10160310)</f>
        <v>10160310</v>
      </c>
      <c r="B1798" s="62" t="str">
        <f ca="1">IFERROR(__xludf.DUMMYFUNCTION("""COMPUTED_VALUE"""),"PARLANTE Alta Voz Samsung a72 5g")</f>
        <v>PARLANTE Alta Voz Samsung a72 5g</v>
      </c>
      <c r="C1798" s="75">
        <f ca="1">IFERROR(__xludf.DUMMYFUNCTION("""COMPUTED_VALUE"""),90)</f>
        <v>90</v>
      </c>
      <c r="D1798" s="75">
        <f ca="1">IFERROR(__xludf.DUMMYFUNCTION("""COMPUTED_VALUE"""),50)</f>
        <v>50</v>
      </c>
      <c r="E1798" s="76">
        <f ca="1">IFERROR(__xludf.DUMMYFUNCTION("""COMPUTED_VALUE"""),140)</f>
        <v>140</v>
      </c>
      <c r="F1798" s="77">
        <f ca="1">IFERROR(__xludf.DUMMYFUNCTION("""COMPUTED_VALUE"""),10160310)</f>
        <v>10160310</v>
      </c>
      <c r="G1798" s="77" t="str">
        <f t="shared" ca="1" si="7"/>
        <v>si</v>
      </c>
    </row>
    <row r="1799" spans="1:7" ht="12.75" x14ac:dyDescent="0.2">
      <c r="A1799" s="62">
        <f ca="1">IFERROR(__xludf.DUMMYFUNCTION("""COMPUTED_VALUE"""),10160311)</f>
        <v>10160311</v>
      </c>
      <c r="B1799" s="62" t="str">
        <f ca="1">IFERROR(__xludf.DUMMYFUNCTION("""COMPUTED_VALUE"""),"PARLANTE Alta Voz Samsung a50")</f>
        <v>PARLANTE Alta Voz Samsung a50</v>
      </c>
      <c r="C1799" s="75">
        <f ca="1">IFERROR(__xludf.DUMMYFUNCTION("""COMPUTED_VALUE"""),70)</f>
        <v>70</v>
      </c>
      <c r="D1799" s="75">
        <f ca="1">IFERROR(__xludf.DUMMYFUNCTION("""COMPUTED_VALUE"""),50)</f>
        <v>50</v>
      </c>
      <c r="E1799" s="76">
        <f ca="1">IFERROR(__xludf.DUMMYFUNCTION("""COMPUTED_VALUE"""),120)</f>
        <v>120</v>
      </c>
      <c r="F1799" s="77">
        <f ca="1">IFERROR(__xludf.DUMMYFUNCTION("""COMPUTED_VALUE"""),10160311)</f>
        <v>10160311</v>
      </c>
      <c r="G1799" s="77" t="str">
        <f t="shared" ca="1" si="7"/>
        <v>si</v>
      </c>
    </row>
    <row r="1800" spans="1:7" ht="12.75" x14ac:dyDescent="0.2">
      <c r="A1800" s="62">
        <f ca="1">IFERROR(__xludf.DUMMYFUNCTION("""COMPUTED_VALUE"""),10160312)</f>
        <v>10160312</v>
      </c>
      <c r="B1800" s="62" t="str">
        <f ca="1">IFERROR(__xludf.DUMMYFUNCTION("""COMPUTED_VALUE"""),"PARLANTE Alta Voz Samsung a30")</f>
        <v>PARLANTE Alta Voz Samsung a30</v>
      </c>
      <c r="C1800" s="75">
        <f ca="1">IFERROR(__xludf.DUMMYFUNCTION("""COMPUTED_VALUE"""),70)</f>
        <v>70</v>
      </c>
      <c r="D1800" s="75">
        <f ca="1">IFERROR(__xludf.DUMMYFUNCTION("""COMPUTED_VALUE"""),50)</f>
        <v>50</v>
      </c>
      <c r="E1800" s="76">
        <f ca="1">IFERROR(__xludf.DUMMYFUNCTION("""COMPUTED_VALUE"""),120)</f>
        <v>120</v>
      </c>
      <c r="F1800" s="77">
        <f ca="1">IFERROR(__xludf.DUMMYFUNCTION("""COMPUTED_VALUE"""),10160312)</f>
        <v>10160312</v>
      </c>
      <c r="G1800" s="77" t="str">
        <f t="shared" ca="1" si="7"/>
        <v>si</v>
      </c>
    </row>
    <row r="1801" spans="1:7" ht="12.75" x14ac:dyDescent="0.2">
      <c r="A1801" s="62">
        <f ca="1">IFERROR(__xludf.DUMMYFUNCTION("""COMPUTED_VALUE"""),10160313)</f>
        <v>10160313</v>
      </c>
      <c r="B1801" s="62" t="str">
        <f ca="1">IFERROR(__xludf.DUMMYFUNCTION("""COMPUTED_VALUE"""),"PARLANTE Alta Voz Samsung a51")</f>
        <v>PARLANTE Alta Voz Samsung a51</v>
      </c>
      <c r="C1801" s="75">
        <f ca="1">IFERROR(__xludf.DUMMYFUNCTION("""COMPUTED_VALUE"""),70)</f>
        <v>70</v>
      </c>
      <c r="D1801" s="75">
        <f ca="1">IFERROR(__xludf.DUMMYFUNCTION("""COMPUTED_VALUE"""),50)</f>
        <v>50</v>
      </c>
      <c r="E1801" s="76">
        <f ca="1">IFERROR(__xludf.DUMMYFUNCTION("""COMPUTED_VALUE"""),120)</f>
        <v>120</v>
      </c>
      <c r="F1801" s="77">
        <f ca="1">IFERROR(__xludf.DUMMYFUNCTION("""COMPUTED_VALUE"""),10160313)</f>
        <v>10160313</v>
      </c>
      <c r="G1801" s="77" t="str">
        <f t="shared" ca="1" si="7"/>
        <v>si</v>
      </c>
    </row>
    <row r="1802" spans="1:7" ht="12.75" x14ac:dyDescent="0.2">
      <c r="A1802" s="62">
        <f ca="1">IFERROR(__xludf.DUMMYFUNCTION("""COMPUTED_VALUE"""),10160314)</f>
        <v>10160314</v>
      </c>
      <c r="B1802" s="62" t="str">
        <f ca="1">IFERROR(__xludf.DUMMYFUNCTION("""COMPUTED_VALUE"""),"PARLANTE Alta Voz Samsung a71")</f>
        <v>PARLANTE Alta Voz Samsung a71</v>
      </c>
      <c r="C1802" s="75">
        <f ca="1">IFERROR(__xludf.DUMMYFUNCTION("""COMPUTED_VALUE"""),70)</f>
        <v>70</v>
      </c>
      <c r="D1802" s="75">
        <f ca="1">IFERROR(__xludf.DUMMYFUNCTION("""COMPUTED_VALUE"""),50)</f>
        <v>50</v>
      </c>
      <c r="E1802" s="76">
        <f ca="1">IFERROR(__xludf.DUMMYFUNCTION("""COMPUTED_VALUE"""),120)</f>
        <v>120</v>
      </c>
      <c r="F1802" s="77">
        <f ca="1">IFERROR(__xludf.DUMMYFUNCTION("""COMPUTED_VALUE"""),10160314)</f>
        <v>10160314</v>
      </c>
      <c r="G1802" s="77" t="str">
        <f t="shared" ca="1" si="7"/>
        <v>si</v>
      </c>
    </row>
    <row r="1803" spans="1:7" ht="12.75" x14ac:dyDescent="0.2">
      <c r="A1803" s="62">
        <f ca="1">IFERROR(__xludf.DUMMYFUNCTION("""COMPUTED_VALUE"""),10160323)</f>
        <v>10160323</v>
      </c>
      <c r="B1803" s="62" t="str">
        <f ca="1">IFERROR(__xludf.DUMMYFUNCTION("""COMPUTED_VALUE"""),"PARLANTE Alta Voz Samsung Note 20 Ultra")</f>
        <v>PARLANTE Alta Voz Samsung Note 20 Ultra</v>
      </c>
      <c r="C1803" s="75">
        <f ca="1">IFERROR(__xludf.DUMMYFUNCTION("""COMPUTED_VALUE"""),90)</f>
        <v>90</v>
      </c>
      <c r="D1803" s="75">
        <f ca="1">IFERROR(__xludf.DUMMYFUNCTION("""COMPUTED_VALUE"""),50)</f>
        <v>50</v>
      </c>
      <c r="E1803" s="76">
        <f ca="1">IFERROR(__xludf.DUMMYFUNCTION("""COMPUTED_VALUE"""),140)</f>
        <v>140</v>
      </c>
      <c r="F1803" s="77">
        <f ca="1">IFERROR(__xludf.DUMMYFUNCTION("""COMPUTED_VALUE"""),10160323)</f>
        <v>10160323</v>
      </c>
      <c r="G1803" s="77" t="str">
        <f t="shared" ca="1" si="7"/>
        <v>si</v>
      </c>
    </row>
    <row r="1804" spans="1:7" ht="12.75" x14ac:dyDescent="0.2">
      <c r="A1804" s="62">
        <f ca="1">IFERROR(__xludf.DUMMYFUNCTION("""COMPUTED_VALUE"""),20140102)</f>
        <v>20140102</v>
      </c>
      <c r="B1804" s="62" t="str">
        <f ca="1">IFERROR(__xludf.DUMMYFUNCTION("""COMPUTED_VALUE"""),"Parlante Macbook Derecho A1398")</f>
        <v>Parlante Macbook Derecho A1398</v>
      </c>
      <c r="C1804" s="75">
        <f ca="1">IFERROR(__xludf.DUMMYFUNCTION("""COMPUTED_VALUE"""),140)</f>
        <v>140</v>
      </c>
      <c r="D1804" s="75">
        <f ca="1">IFERROR(__xludf.DUMMYFUNCTION("""COMPUTED_VALUE"""),50)</f>
        <v>50</v>
      </c>
      <c r="E1804" s="76">
        <f ca="1">IFERROR(__xludf.DUMMYFUNCTION("""COMPUTED_VALUE"""),190)</f>
        <v>190</v>
      </c>
      <c r="F1804" s="77">
        <f ca="1">IFERROR(__xludf.DUMMYFUNCTION("""COMPUTED_VALUE"""),20140102)</f>
        <v>20140102</v>
      </c>
      <c r="G1804" s="77" t="str">
        <f t="shared" ca="1" si="7"/>
        <v>si</v>
      </c>
    </row>
    <row r="1805" spans="1:7" ht="12.75" x14ac:dyDescent="0.2">
      <c r="A1805" s="62">
        <f ca="1">IFERROR(__xludf.DUMMYFUNCTION("""COMPUTED_VALUE"""),20140103)</f>
        <v>20140103</v>
      </c>
      <c r="B1805" s="62" t="str">
        <f ca="1">IFERROR(__xludf.DUMMYFUNCTION("""COMPUTED_VALUE"""),"Parlante Macbook Izquierdo A1398")</f>
        <v>Parlante Macbook Izquierdo A1398</v>
      </c>
      <c r="C1805" s="75">
        <f ca="1">IFERROR(__xludf.DUMMYFUNCTION("""COMPUTED_VALUE"""),140)</f>
        <v>140</v>
      </c>
      <c r="D1805" s="75">
        <f ca="1">IFERROR(__xludf.DUMMYFUNCTION("""COMPUTED_VALUE"""),50)</f>
        <v>50</v>
      </c>
      <c r="E1805" s="76">
        <f ca="1">IFERROR(__xludf.DUMMYFUNCTION("""COMPUTED_VALUE"""),190)</f>
        <v>190</v>
      </c>
      <c r="F1805" s="77">
        <f ca="1">IFERROR(__xludf.DUMMYFUNCTION("""COMPUTED_VALUE"""),20140103)</f>
        <v>20140103</v>
      </c>
      <c r="G1805" s="77" t="str">
        <f t="shared" ca="1" si="7"/>
        <v>si</v>
      </c>
    </row>
    <row r="1806" spans="1:7" ht="12.75" x14ac:dyDescent="0.2">
      <c r="A1806" s="62">
        <f ca="1">IFERROR(__xludf.DUMMYFUNCTION("""COMPUTED_VALUE"""),20140104)</f>
        <v>20140104</v>
      </c>
      <c r="B1806" s="62" t="str">
        <f ca="1">IFERROR(__xludf.DUMMYFUNCTION("""COMPUTED_VALUE"""),"Parlante Macbook Derecho A1322")</f>
        <v>Parlante Macbook Derecho A1322</v>
      </c>
      <c r="C1806" s="75">
        <f ca="1">IFERROR(__xludf.DUMMYFUNCTION("""COMPUTED_VALUE"""),140)</f>
        <v>140</v>
      </c>
      <c r="D1806" s="75">
        <f ca="1">IFERROR(__xludf.DUMMYFUNCTION("""COMPUTED_VALUE"""),50)</f>
        <v>50</v>
      </c>
      <c r="E1806" s="76">
        <f ca="1">IFERROR(__xludf.DUMMYFUNCTION("""COMPUTED_VALUE"""),190)</f>
        <v>190</v>
      </c>
      <c r="F1806" s="77">
        <f ca="1">IFERROR(__xludf.DUMMYFUNCTION("""COMPUTED_VALUE"""),20140104)</f>
        <v>20140104</v>
      </c>
      <c r="G1806" s="77" t="str">
        <f t="shared" ca="1" si="7"/>
        <v>si</v>
      </c>
    </row>
    <row r="1807" spans="1:7" ht="12.75" x14ac:dyDescent="0.2">
      <c r="A1807" s="62">
        <f ca="1">IFERROR(__xludf.DUMMYFUNCTION("""COMPUTED_VALUE"""),20140105)</f>
        <v>20140105</v>
      </c>
      <c r="B1807" s="62" t="str">
        <f ca="1">IFERROR(__xludf.DUMMYFUNCTION("""COMPUTED_VALUE"""),"Parlante Macbook Izquierdo A1322")</f>
        <v>Parlante Macbook Izquierdo A1322</v>
      </c>
      <c r="C1807" s="75">
        <f ca="1">IFERROR(__xludf.DUMMYFUNCTION("""COMPUTED_VALUE"""),140)</f>
        <v>140</v>
      </c>
      <c r="D1807" s="75">
        <f ca="1">IFERROR(__xludf.DUMMYFUNCTION("""COMPUTED_VALUE"""),50)</f>
        <v>50</v>
      </c>
      <c r="E1807" s="76">
        <f ca="1">IFERROR(__xludf.DUMMYFUNCTION("""COMPUTED_VALUE"""),190)</f>
        <v>190</v>
      </c>
      <c r="F1807" s="77">
        <f ca="1">IFERROR(__xludf.DUMMYFUNCTION("""COMPUTED_VALUE"""),20140105)</f>
        <v>20140105</v>
      </c>
      <c r="G1807" s="77" t="str">
        <f t="shared" ca="1" si="7"/>
        <v>si</v>
      </c>
    </row>
    <row r="1808" spans="1:7" ht="12.75" x14ac:dyDescent="0.2">
      <c r="A1808" s="62">
        <f ca="1">IFERROR(__xludf.DUMMYFUNCTION("""COMPUTED_VALUE"""),20140106)</f>
        <v>20140106</v>
      </c>
      <c r="B1808" s="62" t="str">
        <f ca="1">IFERROR(__xludf.DUMMYFUNCTION("""COMPUTED_VALUE"""),"Parlante Macbook Derecho A1466")</f>
        <v>Parlante Macbook Derecho A1466</v>
      </c>
      <c r="C1808" s="75">
        <f ca="1">IFERROR(__xludf.DUMMYFUNCTION("""COMPUTED_VALUE"""),140)</f>
        <v>140</v>
      </c>
      <c r="D1808" s="75">
        <f ca="1">IFERROR(__xludf.DUMMYFUNCTION("""COMPUTED_VALUE"""),50)</f>
        <v>50</v>
      </c>
      <c r="E1808" s="76">
        <f ca="1">IFERROR(__xludf.DUMMYFUNCTION("""COMPUTED_VALUE"""),190)</f>
        <v>190</v>
      </c>
      <c r="F1808" s="77">
        <f ca="1">IFERROR(__xludf.DUMMYFUNCTION("""COMPUTED_VALUE"""),20140106)</f>
        <v>20140106</v>
      </c>
      <c r="G1808" s="77" t="str">
        <f t="shared" ca="1" si="7"/>
        <v>si</v>
      </c>
    </row>
    <row r="1809" spans="1:7" ht="12.75" x14ac:dyDescent="0.2">
      <c r="A1809" s="62">
        <f ca="1">IFERROR(__xludf.DUMMYFUNCTION("""COMPUTED_VALUE"""),20140107)</f>
        <v>20140107</v>
      </c>
      <c r="B1809" s="62" t="str">
        <f ca="1">IFERROR(__xludf.DUMMYFUNCTION("""COMPUTED_VALUE"""),"Parlante Macbook Izquierdo A1466")</f>
        <v>Parlante Macbook Izquierdo A1466</v>
      </c>
      <c r="C1809" s="75">
        <f ca="1">IFERROR(__xludf.DUMMYFUNCTION("""COMPUTED_VALUE"""),140)</f>
        <v>140</v>
      </c>
      <c r="D1809" s="75">
        <f ca="1">IFERROR(__xludf.DUMMYFUNCTION("""COMPUTED_VALUE"""),50)</f>
        <v>50</v>
      </c>
      <c r="E1809" s="76">
        <f ca="1">IFERROR(__xludf.DUMMYFUNCTION("""COMPUTED_VALUE"""),190)</f>
        <v>190</v>
      </c>
      <c r="F1809" s="77">
        <f ca="1">IFERROR(__xludf.DUMMYFUNCTION("""COMPUTED_VALUE"""),20140107)</f>
        <v>20140107</v>
      </c>
      <c r="G1809" s="77" t="str">
        <f t="shared" ca="1" si="7"/>
        <v>si</v>
      </c>
    </row>
    <row r="1810" spans="1:7" ht="12.75" x14ac:dyDescent="0.2">
      <c r="A1810" s="62">
        <f ca="1">IFERROR(__xludf.DUMMYFUNCTION("""COMPUTED_VALUE"""),20140108)</f>
        <v>20140108</v>
      </c>
      <c r="B1810" s="62" t="str">
        <f ca="1">IFERROR(__xludf.DUMMYFUNCTION("""COMPUTED_VALUE"""),"Parlante Macbook Derecho A1502")</f>
        <v>Parlante Macbook Derecho A1502</v>
      </c>
      <c r="C1810" s="75">
        <f ca="1">IFERROR(__xludf.DUMMYFUNCTION("""COMPUTED_VALUE"""),140)</f>
        <v>140</v>
      </c>
      <c r="D1810" s="75">
        <f ca="1">IFERROR(__xludf.DUMMYFUNCTION("""COMPUTED_VALUE"""),50)</f>
        <v>50</v>
      </c>
      <c r="E1810" s="76">
        <f ca="1">IFERROR(__xludf.DUMMYFUNCTION("""COMPUTED_VALUE"""),190)</f>
        <v>190</v>
      </c>
      <c r="F1810" s="77">
        <f ca="1">IFERROR(__xludf.DUMMYFUNCTION("""COMPUTED_VALUE"""),20140108)</f>
        <v>20140108</v>
      </c>
      <c r="G1810" s="77" t="str">
        <f t="shared" ca="1" si="7"/>
        <v>si</v>
      </c>
    </row>
    <row r="1811" spans="1:7" ht="12.75" x14ac:dyDescent="0.2">
      <c r="A1811" s="62">
        <f ca="1">IFERROR(__xludf.DUMMYFUNCTION("""COMPUTED_VALUE"""),20140109)</f>
        <v>20140109</v>
      </c>
      <c r="B1811" s="62" t="str">
        <f ca="1">IFERROR(__xludf.DUMMYFUNCTION("""COMPUTED_VALUE"""),"Parlante Macbook Izquierdo A1502")</f>
        <v>Parlante Macbook Izquierdo A1502</v>
      </c>
      <c r="C1811" s="75">
        <f ca="1">IFERROR(__xludf.DUMMYFUNCTION("""COMPUTED_VALUE"""),140)</f>
        <v>140</v>
      </c>
      <c r="D1811" s="75">
        <f ca="1">IFERROR(__xludf.DUMMYFUNCTION("""COMPUTED_VALUE"""),50)</f>
        <v>50</v>
      </c>
      <c r="E1811" s="76">
        <f ca="1">IFERROR(__xludf.DUMMYFUNCTION("""COMPUTED_VALUE"""),190)</f>
        <v>190</v>
      </c>
      <c r="F1811" s="77">
        <f ca="1">IFERROR(__xludf.DUMMYFUNCTION("""COMPUTED_VALUE"""),20140109)</f>
        <v>20140109</v>
      </c>
      <c r="G1811" s="77" t="str">
        <f t="shared" ca="1" si="7"/>
        <v>si</v>
      </c>
    </row>
    <row r="1812" spans="1:7" ht="12.75" x14ac:dyDescent="0.2">
      <c r="A1812" s="62">
        <f ca="1">IFERROR(__xludf.DUMMYFUNCTION("""COMPUTED_VALUE"""),20140110)</f>
        <v>20140110</v>
      </c>
      <c r="B1812" s="62" t="str">
        <f ca="1">IFERROR(__xludf.DUMMYFUNCTION("""COMPUTED_VALUE"""),"Parlante Macbook Derecho A1707 - A1990")</f>
        <v>Parlante Macbook Derecho A1707 - A1990</v>
      </c>
      <c r="C1812" s="75">
        <f ca="1">IFERROR(__xludf.DUMMYFUNCTION("""COMPUTED_VALUE"""),140)</f>
        <v>140</v>
      </c>
      <c r="D1812" s="75">
        <f ca="1">IFERROR(__xludf.DUMMYFUNCTION("""COMPUTED_VALUE"""),50)</f>
        <v>50</v>
      </c>
      <c r="E1812" s="76">
        <f ca="1">IFERROR(__xludf.DUMMYFUNCTION("""COMPUTED_VALUE"""),190)</f>
        <v>190</v>
      </c>
      <c r="F1812" s="77">
        <f ca="1">IFERROR(__xludf.DUMMYFUNCTION("""COMPUTED_VALUE"""),20140110)</f>
        <v>20140110</v>
      </c>
      <c r="G1812" s="77" t="str">
        <f t="shared" ca="1" si="7"/>
        <v>si</v>
      </c>
    </row>
    <row r="1813" spans="1:7" ht="12.75" x14ac:dyDescent="0.2">
      <c r="A1813" s="62">
        <f ca="1">IFERROR(__xludf.DUMMYFUNCTION("""COMPUTED_VALUE"""),20140111)</f>
        <v>20140111</v>
      </c>
      <c r="B1813" s="62" t="str">
        <f ca="1">IFERROR(__xludf.DUMMYFUNCTION("""COMPUTED_VALUE"""),"Parlante Macbook Izquierdo A1707 - A1990")</f>
        <v>Parlante Macbook Izquierdo A1707 - A1990</v>
      </c>
      <c r="C1813" s="75">
        <f ca="1">IFERROR(__xludf.DUMMYFUNCTION("""COMPUTED_VALUE"""),140)</f>
        <v>140</v>
      </c>
      <c r="D1813" s="75">
        <f ca="1">IFERROR(__xludf.DUMMYFUNCTION("""COMPUTED_VALUE"""),50)</f>
        <v>50</v>
      </c>
      <c r="E1813" s="76">
        <f ca="1">IFERROR(__xludf.DUMMYFUNCTION("""COMPUTED_VALUE"""),190)</f>
        <v>190</v>
      </c>
      <c r="F1813" s="77">
        <f ca="1">IFERROR(__xludf.DUMMYFUNCTION("""COMPUTED_VALUE"""),20140111)</f>
        <v>20140111</v>
      </c>
      <c r="G1813" s="77" t="str">
        <f t="shared" ca="1" si="7"/>
        <v>si</v>
      </c>
    </row>
    <row r="1814" spans="1:7" ht="12.75" x14ac:dyDescent="0.2">
      <c r="A1814" s="62">
        <f ca="1">IFERROR(__xludf.DUMMYFUNCTION("""COMPUTED_VALUE"""),20140112)</f>
        <v>20140112</v>
      </c>
      <c r="B1814" s="62" t="str">
        <f ca="1">IFERROR(__xludf.DUMMYFUNCTION("""COMPUTED_VALUE"""),"Parlante Macbook Derecho A1953 ")</f>
        <v xml:space="preserve">Parlante Macbook Derecho A1953 </v>
      </c>
      <c r="C1814" s="75">
        <f ca="1">IFERROR(__xludf.DUMMYFUNCTION("""COMPUTED_VALUE"""),140)</f>
        <v>140</v>
      </c>
      <c r="D1814" s="75">
        <f ca="1">IFERROR(__xludf.DUMMYFUNCTION("""COMPUTED_VALUE"""),50)</f>
        <v>50</v>
      </c>
      <c r="E1814" s="76">
        <f ca="1">IFERROR(__xludf.DUMMYFUNCTION("""COMPUTED_VALUE"""),190)</f>
        <v>190</v>
      </c>
      <c r="F1814" s="77">
        <f ca="1">IFERROR(__xludf.DUMMYFUNCTION("""COMPUTED_VALUE"""),20140112)</f>
        <v>20140112</v>
      </c>
      <c r="G1814" s="77" t="str">
        <f t="shared" ca="1" si="7"/>
        <v>si</v>
      </c>
    </row>
    <row r="1815" spans="1:7" ht="12.75" x14ac:dyDescent="0.2">
      <c r="A1815" s="62">
        <f ca="1">IFERROR(__xludf.DUMMYFUNCTION("""COMPUTED_VALUE"""),20140113)</f>
        <v>20140113</v>
      </c>
      <c r="B1815" s="62" t="str">
        <f ca="1">IFERROR(__xludf.DUMMYFUNCTION("""COMPUTED_VALUE"""),"Parlante Macbook Izquierdo A1953")</f>
        <v>Parlante Macbook Izquierdo A1953</v>
      </c>
      <c r="C1815" s="75">
        <f ca="1">IFERROR(__xludf.DUMMYFUNCTION("""COMPUTED_VALUE"""),140)</f>
        <v>140</v>
      </c>
      <c r="D1815" s="75">
        <f ca="1">IFERROR(__xludf.DUMMYFUNCTION("""COMPUTED_VALUE"""),50)</f>
        <v>50</v>
      </c>
      <c r="E1815" s="76">
        <f ca="1">IFERROR(__xludf.DUMMYFUNCTION("""COMPUTED_VALUE"""),190)</f>
        <v>190</v>
      </c>
      <c r="F1815" s="77">
        <f ca="1">IFERROR(__xludf.DUMMYFUNCTION("""COMPUTED_VALUE"""),20140113)</f>
        <v>20140113</v>
      </c>
      <c r="G1815" s="77" t="str">
        <f t="shared" ca="1" si="7"/>
        <v>si</v>
      </c>
    </row>
    <row r="1816" spans="1:7" ht="12.75" x14ac:dyDescent="0.2">
      <c r="A1816" s="62">
        <f ca="1">IFERROR(__xludf.DUMMYFUNCTION("""COMPUTED_VALUE"""),20140114)</f>
        <v>20140114</v>
      </c>
      <c r="B1816" s="62" t="str">
        <f ca="1">IFERROR(__xludf.DUMMYFUNCTION("""COMPUTED_VALUE"""),"Parlante Macbook Derecho A1706")</f>
        <v>Parlante Macbook Derecho A1706</v>
      </c>
      <c r="C1816" s="75">
        <f ca="1">IFERROR(__xludf.DUMMYFUNCTION("""COMPUTED_VALUE"""),140)</f>
        <v>140</v>
      </c>
      <c r="D1816" s="75">
        <f ca="1">IFERROR(__xludf.DUMMYFUNCTION("""COMPUTED_VALUE"""),50)</f>
        <v>50</v>
      </c>
      <c r="E1816" s="76">
        <f ca="1">IFERROR(__xludf.DUMMYFUNCTION("""COMPUTED_VALUE"""),190)</f>
        <v>190</v>
      </c>
      <c r="F1816" s="77">
        <f ca="1">IFERROR(__xludf.DUMMYFUNCTION("""COMPUTED_VALUE"""),20140114)</f>
        <v>20140114</v>
      </c>
      <c r="G1816" s="77" t="str">
        <f t="shared" ca="1" si="7"/>
        <v>si</v>
      </c>
    </row>
    <row r="1817" spans="1:7" ht="12.75" x14ac:dyDescent="0.2">
      <c r="A1817" s="62">
        <f ca="1">IFERROR(__xludf.DUMMYFUNCTION("""COMPUTED_VALUE"""),20140115)</f>
        <v>20140115</v>
      </c>
      <c r="B1817" s="62" t="str">
        <f ca="1">IFERROR(__xludf.DUMMYFUNCTION("""COMPUTED_VALUE"""),"Parlante Macbook Izquierdo A1706")</f>
        <v>Parlante Macbook Izquierdo A1706</v>
      </c>
      <c r="C1817" s="75">
        <f ca="1">IFERROR(__xludf.DUMMYFUNCTION("""COMPUTED_VALUE"""),140)</f>
        <v>140</v>
      </c>
      <c r="D1817" s="75">
        <f ca="1">IFERROR(__xludf.DUMMYFUNCTION("""COMPUTED_VALUE"""),50)</f>
        <v>50</v>
      </c>
      <c r="E1817" s="76">
        <f ca="1">IFERROR(__xludf.DUMMYFUNCTION("""COMPUTED_VALUE"""),190)</f>
        <v>190</v>
      </c>
      <c r="F1817" s="77">
        <f ca="1">IFERROR(__xludf.DUMMYFUNCTION("""COMPUTED_VALUE"""),20140115)</f>
        <v>20140115</v>
      </c>
      <c r="G1817" s="77" t="str">
        <f t="shared" ca="1" si="7"/>
        <v>si</v>
      </c>
    </row>
    <row r="1818" spans="1:7" ht="12.75" x14ac:dyDescent="0.2">
      <c r="A1818" s="62">
        <f ca="1">IFERROR(__xludf.DUMMYFUNCTION("""COMPUTED_VALUE"""),20140116)</f>
        <v>20140116</v>
      </c>
      <c r="B1818" s="62" t="str">
        <f ca="1">IFERROR(__xludf.DUMMYFUNCTION("""COMPUTED_VALUE"""),"Parlante Macbook Derecho A1964")</f>
        <v>Parlante Macbook Derecho A1964</v>
      </c>
      <c r="C1818" s="75">
        <f ca="1">IFERROR(__xludf.DUMMYFUNCTION("""COMPUTED_VALUE"""),140)</f>
        <v>140</v>
      </c>
      <c r="D1818" s="75">
        <f ca="1">IFERROR(__xludf.DUMMYFUNCTION("""COMPUTED_VALUE"""),50)</f>
        <v>50</v>
      </c>
      <c r="E1818" s="76">
        <f ca="1">IFERROR(__xludf.DUMMYFUNCTION("""COMPUTED_VALUE"""),190)</f>
        <v>190</v>
      </c>
      <c r="F1818" s="77">
        <f ca="1">IFERROR(__xludf.DUMMYFUNCTION("""COMPUTED_VALUE"""),20140116)</f>
        <v>20140116</v>
      </c>
      <c r="G1818" s="77" t="str">
        <f t="shared" ca="1" si="7"/>
        <v>si</v>
      </c>
    </row>
    <row r="1819" spans="1:7" ht="12.75" x14ac:dyDescent="0.2">
      <c r="A1819" s="62">
        <f ca="1">IFERROR(__xludf.DUMMYFUNCTION("""COMPUTED_VALUE"""),20140117)</f>
        <v>20140117</v>
      </c>
      <c r="B1819" s="62" t="str">
        <f ca="1">IFERROR(__xludf.DUMMYFUNCTION("""COMPUTED_VALUE"""),"Parlante Macbook Izquierdo A1964")</f>
        <v>Parlante Macbook Izquierdo A1964</v>
      </c>
      <c r="C1819" s="75">
        <f ca="1">IFERROR(__xludf.DUMMYFUNCTION("""COMPUTED_VALUE"""),140)</f>
        <v>140</v>
      </c>
      <c r="D1819" s="75">
        <f ca="1">IFERROR(__xludf.DUMMYFUNCTION("""COMPUTED_VALUE"""),50)</f>
        <v>50</v>
      </c>
      <c r="E1819" s="76">
        <f ca="1">IFERROR(__xludf.DUMMYFUNCTION("""COMPUTED_VALUE"""),190)</f>
        <v>190</v>
      </c>
      <c r="F1819" s="77">
        <f ca="1">IFERROR(__xludf.DUMMYFUNCTION("""COMPUTED_VALUE"""),20140117)</f>
        <v>20140117</v>
      </c>
      <c r="G1819" s="77" t="str">
        <f t="shared" ca="1" si="7"/>
        <v>si</v>
      </c>
    </row>
    <row r="1820" spans="1:7" ht="12.75" x14ac:dyDescent="0.2">
      <c r="A1820" s="62">
        <f ca="1">IFERROR(__xludf.DUMMYFUNCTION("""COMPUTED_VALUE"""),20140181)</f>
        <v>20140181</v>
      </c>
      <c r="B1820" s="62" t="str">
        <f ca="1">IFERROR(__xludf.DUMMYFUNCTION("""COMPUTED_VALUE"""),"Parlante Macbook Izquierdo A1708")</f>
        <v>Parlante Macbook Izquierdo A1708</v>
      </c>
      <c r="C1820" s="75">
        <f ca="1">IFERROR(__xludf.DUMMYFUNCTION("""COMPUTED_VALUE"""),140)</f>
        <v>140</v>
      </c>
      <c r="D1820" s="75">
        <f ca="1">IFERROR(__xludf.DUMMYFUNCTION("""COMPUTED_VALUE"""),50)</f>
        <v>50</v>
      </c>
      <c r="E1820" s="76">
        <f ca="1">IFERROR(__xludf.DUMMYFUNCTION("""COMPUTED_VALUE"""),190)</f>
        <v>190</v>
      </c>
      <c r="F1820" s="77">
        <f ca="1">IFERROR(__xludf.DUMMYFUNCTION("""COMPUTED_VALUE"""),20140181)</f>
        <v>20140181</v>
      </c>
      <c r="G1820" s="77" t="str">
        <f t="shared" ca="1" si="7"/>
        <v>si</v>
      </c>
    </row>
    <row r="1821" spans="1:7" ht="12.75" x14ac:dyDescent="0.2">
      <c r="A1821" s="62">
        <f ca="1">IFERROR(__xludf.DUMMYFUNCTION("""COMPUTED_VALUE"""),20140182)</f>
        <v>20140182</v>
      </c>
      <c r="B1821" s="62" t="str">
        <f ca="1">IFERROR(__xludf.DUMMYFUNCTION("""COMPUTED_VALUE"""),"Parlante Macbook Derecho A1708")</f>
        <v>Parlante Macbook Derecho A1708</v>
      </c>
      <c r="C1821" s="75">
        <f ca="1">IFERROR(__xludf.DUMMYFUNCTION("""COMPUTED_VALUE"""),140)</f>
        <v>140</v>
      </c>
      <c r="D1821" s="75">
        <f ca="1">IFERROR(__xludf.DUMMYFUNCTION("""COMPUTED_VALUE"""),50)</f>
        <v>50</v>
      </c>
      <c r="E1821" s="76">
        <f ca="1">IFERROR(__xludf.DUMMYFUNCTION("""COMPUTED_VALUE"""),190)</f>
        <v>190</v>
      </c>
      <c r="F1821" s="77">
        <f ca="1">IFERROR(__xludf.DUMMYFUNCTION("""COMPUTED_VALUE"""),20140182)</f>
        <v>20140182</v>
      </c>
      <c r="G1821" s="77" t="str">
        <f t="shared" ca="1" si="7"/>
        <v>si</v>
      </c>
    </row>
    <row r="1822" spans="1:7" ht="12.75" x14ac:dyDescent="0.2">
      <c r="A1822" s="62">
        <f ca="1">IFERROR(__xludf.DUMMYFUNCTION("""COMPUTED_VALUE"""),20140183)</f>
        <v>20140183</v>
      </c>
      <c r="B1822" s="62" t="str">
        <f ca="1">IFERROR(__xludf.DUMMYFUNCTION("""COMPUTED_VALUE"""),"Parlante Macbook Izquierdo A1989")</f>
        <v>Parlante Macbook Izquierdo A1989</v>
      </c>
      <c r="C1822" s="75">
        <f ca="1">IFERROR(__xludf.DUMMYFUNCTION("""COMPUTED_VALUE"""),140)</f>
        <v>140</v>
      </c>
      <c r="D1822" s="75">
        <f ca="1">IFERROR(__xludf.DUMMYFUNCTION("""COMPUTED_VALUE"""),50)</f>
        <v>50</v>
      </c>
      <c r="E1822" s="76">
        <f ca="1">IFERROR(__xludf.DUMMYFUNCTION("""COMPUTED_VALUE"""),190)</f>
        <v>190</v>
      </c>
      <c r="F1822" s="77">
        <f ca="1">IFERROR(__xludf.DUMMYFUNCTION("""COMPUTED_VALUE"""),20140183)</f>
        <v>20140183</v>
      </c>
      <c r="G1822" s="77" t="str">
        <f t="shared" ca="1" si="7"/>
        <v>si</v>
      </c>
    </row>
    <row r="1823" spans="1:7" ht="12.75" x14ac:dyDescent="0.2">
      <c r="A1823" s="62">
        <f ca="1">IFERROR(__xludf.DUMMYFUNCTION("""COMPUTED_VALUE"""),20140184)</f>
        <v>20140184</v>
      </c>
      <c r="B1823" s="62" t="str">
        <f ca="1">IFERROR(__xludf.DUMMYFUNCTION("""COMPUTED_VALUE"""),"Parlante Macbook Derecho A1989")</f>
        <v>Parlante Macbook Derecho A1989</v>
      </c>
      <c r="C1823" s="75">
        <f ca="1">IFERROR(__xludf.DUMMYFUNCTION("""COMPUTED_VALUE"""),140)</f>
        <v>140</v>
      </c>
      <c r="D1823" s="75">
        <f ca="1">IFERROR(__xludf.DUMMYFUNCTION("""COMPUTED_VALUE"""),50)</f>
        <v>50</v>
      </c>
      <c r="E1823" s="76">
        <f ca="1">IFERROR(__xludf.DUMMYFUNCTION("""COMPUTED_VALUE"""),190)</f>
        <v>190</v>
      </c>
      <c r="F1823" s="77">
        <f ca="1">IFERROR(__xludf.DUMMYFUNCTION("""COMPUTED_VALUE"""),20140184)</f>
        <v>20140184</v>
      </c>
      <c r="G1823" s="77" t="str">
        <f t="shared" ca="1" si="7"/>
        <v>si</v>
      </c>
    </row>
    <row r="1824" spans="1:7" ht="12.75" x14ac:dyDescent="0.2">
      <c r="A1824" s="62">
        <f ca="1">IFERROR(__xludf.DUMMYFUNCTION("""COMPUTED_VALUE"""),20140185)</f>
        <v>20140185</v>
      </c>
      <c r="B1824" s="62" t="str">
        <f ca="1">IFERROR(__xludf.DUMMYFUNCTION("""COMPUTED_VALUE"""),"Parlante Macbook Izquierdo A2159")</f>
        <v>Parlante Macbook Izquierdo A2159</v>
      </c>
      <c r="C1824" s="75">
        <f ca="1">IFERROR(__xludf.DUMMYFUNCTION("""COMPUTED_VALUE"""),140)</f>
        <v>140</v>
      </c>
      <c r="D1824" s="75">
        <f ca="1">IFERROR(__xludf.DUMMYFUNCTION("""COMPUTED_VALUE"""),50)</f>
        <v>50</v>
      </c>
      <c r="E1824" s="76">
        <f ca="1">IFERROR(__xludf.DUMMYFUNCTION("""COMPUTED_VALUE"""),190)</f>
        <v>190</v>
      </c>
      <c r="F1824" s="77">
        <f ca="1">IFERROR(__xludf.DUMMYFUNCTION("""COMPUTED_VALUE"""),20140185)</f>
        <v>20140185</v>
      </c>
      <c r="G1824" s="77" t="str">
        <f t="shared" ca="1" si="7"/>
        <v>si</v>
      </c>
    </row>
    <row r="1825" spans="1:7" ht="12.75" x14ac:dyDescent="0.2">
      <c r="A1825" s="62">
        <f ca="1">IFERROR(__xludf.DUMMYFUNCTION("""COMPUTED_VALUE"""),20140186)</f>
        <v>20140186</v>
      </c>
      <c r="B1825" s="62" t="str">
        <f ca="1">IFERROR(__xludf.DUMMYFUNCTION("""COMPUTED_VALUE"""),"Parlante Macbook Derecho A2159")</f>
        <v>Parlante Macbook Derecho A2159</v>
      </c>
      <c r="C1825" s="75">
        <f ca="1">IFERROR(__xludf.DUMMYFUNCTION("""COMPUTED_VALUE"""),140)</f>
        <v>140</v>
      </c>
      <c r="D1825" s="75">
        <f ca="1">IFERROR(__xludf.DUMMYFUNCTION("""COMPUTED_VALUE"""),50)</f>
        <v>50</v>
      </c>
      <c r="E1825" s="76">
        <f ca="1">IFERROR(__xludf.DUMMYFUNCTION("""COMPUTED_VALUE"""),190)</f>
        <v>190</v>
      </c>
      <c r="F1825" s="77">
        <f ca="1">IFERROR(__xludf.DUMMYFUNCTION("""COMPUTED_VALUE"""),20140186)</f>
        <v>20140186</v>
      </c>
      <c r="G1825" s="77" t="str">
        <f t="shared" ca="1" si="7"/>
        <v>si</v>
      </c>
    </row>
    <row r="1826" spans="1:7" ht="12.75" x14ac:dyDescent="0.2">
      <c r="A1826" s="62">
        <f ca="1">IFERROR(__xludf.DUMMYFUNCTION("""COMPUTED_VALUE"""),20140187)</f>
        <v>20140187</v>
      </c>
      <c r="B1826" s="62" t="str">
        <f ca="1">IFERROR(__xludf.DUMMYFUNCTION("""COMPUTED_VALUE"""),"Parlante Macbook Izquierdo A2289 / A2338")</f>
        <v>Parlante Macbook Izquierdo A2289 / A2338</v>
      </c>
      <c r="C1826" s="75">
        <f ca="1">IFERROR(__xludf.DUMMYFUNCTION("""COMPUTED_VALUE"""),210)</f>
        <v>210</v>
      </c>
      <c r="D1826" s="75">
        <f ca="1">IFERROR(__xludf.DUMMYFUNCTION("""COMPUTED_VALUE"""),50)</f>
        <v>50</v>
      </c>
      <c r="E1826" s="76">
        <f ca="1">IFERROR(__xludf.DUMMYFUNCTION("""COMPUTED_VALUE"""),260)</f>
        <v>260</v>
      </c>
      <c r="F1826" s="77">
        <f ca="1">IFERROR(__xludf.DUMMYFUNCTION("""COMPUTED_VALUE"""),20140187)</f>
        <v>20140187</v>
      </c>
      <c r="G1826" s="77" t="str">
        <f t="shared" ca="1" si="7"/>
        <v>si</v>
      </c>
    </row>
    <row r="1827" spans="1:7" ht="12.75" x14ac:dyDescent="0.2">
      <c r="A1827" s="62">
        <f ca="1">IFERROR(__xludf.DUMMYFUNCTION("""COMPUTED_VALUE"""),20140188)</f>
        <v>20140188</v>
      </c>
      <c r="B1827" s="62" t="str">
        <f ca="1">IFERROR(__xludf.DUMMYFUNCTION("""COMPUTED_VALUE"""),"Parlante Macbook Derecho A2289 / A2338")</f>
        <v>Parlante Macbook Derecho A2289 / A2338</v>
      </c>
      <c r="C1827" s="75">
        <f ca="1">IFERROR(__xludf.DUMMYFUNCTION("""COMPUTED_VALUE"""),210)</f>
        <v>210</v>
      </c>
      <c r="D1827" s="75">
        <f ca="1">IFERROR(__xludf.DUMMYFUNCTION("""COMPUTED_VALUE"""),50)</f>
        <v>50</v>
      </c>
      <c r="E1827" s="76">
        <f ca="1">IFERROR(__xludf.DUMMYFUNCTION("""COMPUTED_VALUE"""),260)</f>
        <v>260</v>
      </c>
      <c r="F1827" s="77">
        <f ca="1">IFERROR(__xludf.DUMMYFUNCTION("""COMPUTED_VALUE"""),20140188)</f>
        <v>20140188</v>
      </c>
      <c r="G1827" s="77" t="str">
        <f t="shared" ca="1" si="7"/>
        <v>si</v>
      </c>
    </row>
    <row r="1828" spans="1:7" ht="12.75" x14ac:dyDescent="0.2">
      <c r="A1828" s="62">
        <f ca="1">IFERROR(__xludf.DUMMYFUNCTION("""COMPUTED_VALUE"""),20140189)</f>
        <v>20140189</v>
      </c>
      <c r="B1828" s="62" t="str">
        <f ca="1">IFERROR(__xludf.DUMMYFUNCTION("""COMPUTED_VALUE"""),"Parlante Macbook Izquierdo A1932")</f>
        <v>Parlante Macbook Izquierdo A1932</v>
      </c>
      <c r="C1828" s="75">
        <f ca="1">IFERROR(__xludf.DUMMYFUNCTION("""COMPUTED_VALUE"""),140)</f>
        <v>140</v>
      </c>
      <c r="D1828" s="75">
        <f ca="1">IFERROR(__xludf.DUMMYFUNCTION("""COMPUTED_VALUE"""),50)</f>
        <v>50</v>
      </c>
      <c r="E1828" s="76">
        <f ca="1">IFERROR(__xludf.DUMMYFUNCTION("""COMPUTED_VALUE"""),190)</f>
        <v>190</v>
      </c>
      <c r="F1828" s="77">
        <f ca="1">IFERROR(__xludf.DUMMYFUNCTION("""COMPUTED_VALUE"""),20140189)</f>
        <v>20140189</v>
      </c>
      <c r="G1828" s="77" t="str">
        <f t="shared" ca="1" si="7"/>
        <v>si</v>
      </c>
    </row>
    <row r="1829" spans="1:7" ht="12.75" x14ac:dyDescent="0.2">
      <c r="A1829" s="62">
        <f ca="1">IFERROR(__xludf.DUMMYFUNCTION("""COMPUTED_VALUE"""),20140190)</f>
        <v>20140190</v>
      </c>
      <c r="B1829" s="62" t="str">
        <f ca="1">IFERROR(__xludf.DUMMYFUNCTION("""COMPUTED_VALUE"""),"Parlante Macbook Derecho A1932")</f>
        <v>Parlante Macbook Derecho A1932</v>
      </c>
      <c r="C1829" s="75">
        <f ca="1">IFERROR(__xludf.DUMMYFUNCTION("""COMPUTED_VALUE"""),140)</f>
        <v>140</v>
      </c>
      <c r="D1829" s="75">
        <f ca="1">IFERROR(__xludf.DUMMYFUNCTION("""COMPUTED_VALUE"""),50)</f>
        <v>50</v>
      </c>
      <c r="E1829" s="76">
        <f ca="1">IFERROR(__xludf.DUMMYFUNCTION("""COMPUTED_VALUE"""),190)</f>
        <v>190</v>
      </c>
      <c r="F1829" s="77">
        <f ca="1">IFERROR(__xludf.DUMMYFUNCTION("""COMPUTED_VALUE"""),20140190)</f>
        <v>20140190</v>
      </c>
      <c r="G1829" s="77" t="str">
        <f t="shared" ca="1" si="7"/>
        <v>si</v>
      </c>
    </row>
    <row r="1830" spans="1:7" ht="12.75" x14ac:dyDescent="0.2">
      <c r="A1830" s="62">
        <f ca="1">IFERROR(__xludf.DUMMYFUNCTION("""COMPUTED_VALUE"""),20140191)</f>
        <v>20140191</v>
      </c>
      <c r="B1830" s="62" t="str">
        <f ca="1">IFERROR(__xludf.DUMMYFUNCTION("""COMPUTED_VALUE"""),"Parlante Macbook Izquierdo A2337")</f>
        <v>Parlante Macbook Izquierdo A2337</v>
      </c>
      <c r="C1830" s="75">
        <f ca="1">IFERROR(__xludf.DUMMYFUNCTION("""COMPUTED_VALUE"""),230)</f>
        <v>230</v>
      </c>
      <c r="D1830" s="75">
        <f ca="1">IFERROR(__xludf.DUMMYFUNCTION("""COMPUTED_VALUE"""),50)</f>
        <v>50</v>
      </c>
      <c r="E1830" s="76">
        <f ca="1">IFERROR(__xludf.DUMMYFUNCTION("""COMPUTED_VALUE"""),280)</f>
        <v>280</v>
      </c>
      <c r="F1830" s="77">
        <f ca="1">IFERROR(__xludf.DUMMYFUNCTION("""COMPUTED_VALUE"""),20140191)</f>
        <v>20140191</v>
      </c>
      <c r="G1830" s="77" t="str">
        <f t="shared" ca="1" si="7"/>
        <v>si</v>
      </c>
    </row>
    <row r="1831" spans="1:7" ht="12.75" x14ac:dyDescent="0.2">
      <c r="A1831" s="62">
        <f ca="1">IFERROR(__xludf.DUMMYFUNCTION("""COMPUTED_VALUE"""),20140192)</f>
        <v>20140192</v>
      </c>
      <c r="B1831" s="62" t="str">
        <f ca="1">IFERROR(__xludf.DUMMYFUNCTION("""COMPUTED_VALUE"""),"Parlante Macbook Derecho A2337")</f>
        <v>Parlante Macbook Derecho A2337</v>
      </c>
      <c r="C1831" s="75">
        <f ca="1">IFERROR(__xludf.DUMMYFUNCTION("""COMPUTED_VALUE"""),230)</f>
        <v>230</v>
      </c>
      <c r="D1831" s="75">
        <f ca="1">IFERROR(__xludf.DUMMYFUNCTION("""COMPUTED_VALUE"""),50)</f>
        <v>50</v>
      </c>
      <c r="E1831" s="76">
        <f ca="1">IFERROR(__xludf.DUMMYFUNCTION("""COMPUTED_VALUE"""),280)</f>
        <v>280</v>
      </c>
      <c r="F1831" s="77">
        <f ca="1">IFERROR(__xludf.DUMMYFUNCTION("""COMPUTED_VALUE"""),20140192)</f>
        <v>20140192</v>
      </c>
      <c r="G1831" s="77" t="str">
        <f t="shared" ca="1" si="7"/>
        <v>si</v>
      </c>
    </row>
    <row r="1832" spans="1:7" ht="12.75" x14ac:dyDescent="0.2">
      <c r="A1832" s="62">
        <f ca="1">IFERROR(__xludf.DUMMYFUNCTION("""COMPUTED_VALUE"""),20140193)</f>
        <v>20140193</v>
      </c>
      <c r="B1832" s="62" t="str">
        <f ca="1">IFERROR(__xludf.DUMMYFUNCTION("""COMPUTED_VALUE"""),"Parlante Macbook Izquierdo A2179")</f>
        <v>Parlante Macbook Izquierdo A2179</v>
      </c>
      <c r="C1832" s="75">
        <f ca="1">IFERROR(__xludf.DUMMYFUNCTION("""COMPUTED_VALUE"""),140)</f>
        <v>140</v>
      </c>
      <c r="D1832" s="75">
        <f ca="1">IFERROR(__xludf.DUMMYFUNCTION("""COMPUTED_VALUE"""),50)</f>
        <v>50</v>
      </c>
      <c r="E1832" s="76">
        <f ca="1">IFERROR(__xludf.DUMMYFUNCTION("""COMPUTED_VALUE"""),190)</f>
        <v>190</v>
      </c>
      <c r="F1832" s="77">
        <f ca="1">IFERROR(__xludf.DUMMYFUNCTION("""COMPUTED_VALUE"""),20140193)</f>
        <v>20140193</v>
      </c>
      <c r="G1832" s="77" t="str">
        <f t="shared" ca="1" si="7"/>
        <v>si</v>
      </c>
    </row>
    <row r="1833" spans="1:7" ht="12.75" x14ac:dyDescent="0.2">
      <c r="A1833" s="62">
        <f ca="1">IFERROR(__xludf.DUMMYFUNCTION("""COMPUTED_VALUE"""),20140194)</f>
        <v>20140194</v>
      </c>
      <c r="B1833" s="62" t="str">
        <f ca="1">IFERROR(__xludf.DUMMYFUNCTION("""COMPUTED_VALUE"""),"Parlante Macbook Derecho A2179")</f>
        <v>Parlante Macbook Derecho A2179</v>
      </c>
      <c r="C1833" s="75">
        <f ca="1">IFERROR(__xludf.DUMMYFUNCTION("""COMPUTED_VALUE"""),140)</f>
        <v>140</v>
      </c>
      <c r="D1833" s="75">
        <f ca="1">IFERROR(__xludf.DUMMYFUNCTION("""COMPUTED_VALUE"""),50)</f>
        <v>50</v>
      </c>
      <c r="E1833" s="76">
        <f ca="1">IFERROR(__xludf.DUMMYFUNCTION("""COMPUTED_VALUE"""),190)</f>
        <v>190</v>
      </c>
      <c r="F1833" s="77">
        <f ca="1">IFERROR(__xludf.DUMMYFUNCTION("""COMPUTED_VALUE"""),20140194)</f>
        <v>20140194</v>
      </c>
      <c r="G1833" s="77" t="str">
        <f t="shared" ca="1" si="7"/>
        <v>si</v>
      </c>
    </row>
    <row r="1834" spans="1:7" ht="12.75" x14ac:dyDescent="0.2">
      <c r="A1834" s="62">
        <f ca="1">IFERROR(__xludf.DUMMYFUNCTION("""COMPUTED_VALUE"""),20140195)</f>
        <v>20140195</v>
      </c>
      <c r="B1834" s="62" t="str">
        <f ca="1">IFERROR(__xludf.DUMMYFUNCTION("""COMPUTED_VALUE"""),"Parlante Macbook Izquierdo A2141")</f>
        <v>Parlante Macbook Izquierdo A2141</v>
      </c>
      <c r="C1834" s="75">
        <f ca="1">IFERROR(__xludf.DUMMYFUNCTION("""COMPUTED_VALUE"""),230)</f>
        <v>230</v>
      </c>
      <c r="D1834" s="75">
        <f ca="1">IFERROR(__xludf.DUMMYFUNCTION("""COMPUTED_VALUE"""),50)</f>
        <v>50</v>
      </c>
      <c r="E1834" s="76">
        <f ca="1">IFERROR(__xludf.DUMMYFUNCTION("""COMPUTED_VALUE"""),280)</f>
        <v>280</v>
      </c>
      <c r="F1834" s="77">
        <f ca="1">IFERROR(__xludf.DUMMYFUNCTION("""COMPUTED_VALUE"""),20140195)</f>
        <v>20140195</v>
      </c>
      <c r="G1834" s="77" t="str">
        <f t="shared" ca="1" si="7"/>
        <v>si</v>
      </c>
    </row>
    <row r="1835" spans="1:7" ht="12.75" x14ac:dyDescent="0.2">
      <c r="A1835" s="62">
        <f ca="1">IFERROR(__xludf.DUMMYFUNCTION("""COMPUTED_VALUE"""),20140196)</f>
        <v>20140196</v>
      </c>
      <c r="B1835" s="62" t="str">
        <f ca="1">IFERROR(__xludf.DUMMYFUNCTION("""COMPUTED_VALUE"""),"Parlante Macbook Derecho A2141")</f>
        <v>Parlante Macbook Derecho A2141</v>
      </c>
      <c r="C1835" s="75">
        <f ca="1">IFERROR(__xludf.DUMMYFUNCTION("""COMPUTED_VALUE"""),230)</f>
        <v>230</v>
      </c>
      <c r="D1835" s="75">
        <f ca="1">IFERROR(__xludf.DUMMYFUNCTION("""COMPUTED_VALUE"""),50)</f>
        <v>50</v>
      </c>
      <c r="E1835" s="76">
        <f ca="1">IFERROR(__xludf.DUMMYFUNCTION("""COMPUTED_VALUE"""),280)</f>
        <v>280</v>
      </c>
      <c r="F1835" s="77">
        <f ca="1">IFERROR(__xludf.DUMMYFUNCTION("""COMPUTED_VALUE"""),20140196)</f>
        <v>20140196</v>
      </c>
      <c r="G1835" s="77" t="str">
        <f t="shared" ca="1" si="7"/>
        <v>si</v>
      </c>
    </row>
    <row r="1836" spans="1:7" ht="12.75" x14ac:dyDescent="0.2">
      <c r="A1836" s="62">
        <f ca="1">IFERROR(__xludf.DUMMYFUNCTION("""COMPUTED_VALUE"""),20140197)</f>
        <v>20140197</v>
      </c>
      <c r="B1836" s="62" t="str">
        <f ca="1">IFERROR(__xludf.DUMMYFUNCTION("""COMPUTED_VALUE"""),"Parlante Macbook Derecho A2251")</f>
        <v>Parlante Macbook Derecho A2251</v>
      </c>
      <c r="C1836" s="75">
        <f ca="1">IFERROR(__xludf.DUMMYFUNCTION("""COMPUTED_VALUE"""),140)</f>
        <v>140</v>
      </c>
      <c r="D1836" s="75">
        <f ca="1">IFERROR(__xludf.DUMMYFUNCTION("""COMPUTED_VALUE"""),50)</f>
        <v>50</v>
      </c>
      <c r="E1836" s="76">
        <f ca="1">IFERROR(__xludf.DUMMYFUNCTION("""COMPUTED_VALUE"""),190)</f>
        <v>190</v>
      </c>
      <c r="F1836" s="77">
        <f ca="1">IFERROR(__xludf.DUMMYFUNCTION("""COMPUTED_VALUE"""),20140197)</f>
        <v>20140197</v>
      </c>
      <c r="G1836" s="77" t="str">
        <f t="shared" ca="1" si="7"/>
        <v>si</v>
      </c>
    </row>
    <row r="1837" spans="1:7" ht="12.75" x14ac:dyDescent="0.2">
      <c r="A1837" s="62">
        <f ca="1">IFERROR(__xludf.DUMMYFUNCTION("""COMPUTED_VALUE"""),20140198)</f>
        <v>20140198</v>
      </c>
      <c r="B1837" s="62" t="str">
        <f ca="1">IFERROR(__xludf.DUMMYFUNCTION("""COMPUTED_VALUE"""),"Parlante Macbook Izquierdo A2251")</f>
        <v>Parlante Macbook Izquierdo A2251</v>
      </c>
      <c r="C1837" s="75">
        <f ca="1">IFERROR(__xludf.DUMMYFUNCTION("""COMPUTED_VALUE"""),140)</f>
        <v>140</v>
      </c>
      <c r="D1837" s="75">
        <f ca="1">IFERROR(__xludf.DUMMYFUNCTION("""COMPUTED_VALUE"""),50)</f>
        <v>50</v>
      </c>
      <c r="E1837" s="76">
        <f ca="1">IFERROR(__xludf.DUMMYFUNCTION("""COMPUTED_VALUE"""),190)</f>
        <v>190</v>
      </c>
      <c r="F1837" s="77">
        <f ca="1">IFERROR(__xludf.DUMMYFUNCTION("""COMPUTED_VALUE"""),20140198)</f>
        <v>20140198</v>
      </c>
      <c r="G1837" s="77" t="str">
        <f t="shared" ca="1" si="7"/>
        <v>si</v>
      </c>
    </row>
    <row r="1838" spans="1:7" ht="12.75" x14ac:dyDescent="0.2">
      <c r="A1838" s="62">
        <f ca="1">IFERROR(__xludf.DUMMYFUNCTION("""COMPUTED_VALUE"""),20140199)</f>
        <v>20140199</v>
      </c>
      <c r="B1838" s="62" t="str">
        <f ca="1">IFERROR(__xludf.DUMMYFUNCTION("""COMPUTED_VALUE"""),"Parlante Macbook Derecho A2338")</f>
        <v>Parlante Macbook Derecho A2338</v>
      </c>
      <c r="C1838" s="75">
        <f ca="1">IFERROR(__xludf.DUMMYFUNCTION("""COMPUTED_VALUE"""),210)</f>
        <v>210</v>
      </c>
      <c r="D1838" s="75">
        <f ca="1">IFERROR(__xludf.DUMMYFUNCTION("""COMPUTED_VALUE"""),50)</f>
        <v>50</v>
      </c>
      <c r="E1838" s="76">
        <f ca="1">IFERROR(__xludf.DUMMYFUNCTION("""COMPUTED_VALUE"""),260)</f>
        <v>260</v>
      </c>
      <c r="F1838" s="77">
        <f ca="1">IFERROR(__xludf.DUMMYFUNCTION("""COMPUTED_VALUE"""),20140199)</f>
        <v>20140199</v>
      </c>
      <c r="G1838" s="77" t="str">
        <f t="shared" ca="1" si="7"/>
        <v>si</v>
      </c>
    </row>
    <row r="1839" spans="1:7" ht="12.75" x14ac:dyDescent="0.2">
      <c r="A1839" s="62">
        <f ca="1">IFERROR(__xludf.DUMMYFUNCTION("""COMPUTED_VALUE"""),20140200)</f>
        <v>20140200</v>
      </c>
      <c r="B1839" s="62" t="str">
        <f ca="1">IFERROR(__xludf.DUMMYFUNCTION("""COMPUTED_VALUE"""),"Parlante Macbook Izquierdo A2338")</f>
        <v>Parlante Macbook Izquierdo A2338</v>
      </c>
      <c r="C1839" s="75">
        <f ca="1">IFERROR(__xludf.DUMMYFUNCTION("""COMPUTED_VALUE"""),210)</f>
        <v>210</v>
      </c>
      <c r="D1839" s="75">
        <f ca="1">IFERROR(__xludf.DUMMYFUNCTION("""COMPUTED_VALUE"""),50)</f>
        <v>50</v>
      </c>
      <c r="E1839" s="76">
        <f ca="1">IFERROR(__xludf.DUMMYFUNCTION("""COMPUTED_VALUE"""),260)</f>
        <v>260</v>
      </c>
      <c r="F1839" s="77">
        <f ca="1">IFERROR(__xludf.DUMMYFUNCTION("""COMPUTED_VALUE"""),20140200)</f>
        <v>20140200</v>
      </c>
      <c r="G1839" s="77" t="str">
        <f t="shared" ca="1" si="7"/>
        <v>si</v>
      </c>
    </row>
    <row r="1840" spans="1:7" ht="12.75" x14ac:dyDescent="0.2">
      <c r="A1840" s="62">
        <f ca="1">IFERROR(__xludf.DUMMYFUNCTION("""COMPUTED_VALUE"""),20140118)</f>
        <v>20140118</v>
      </c>
      <c r="B1840" s="62" t="str">
        <f ca="1">IFERROR(__xludf.DUMMYFUNCTION("""COMPUTED_VALUE"""),"Cooler Macbook A1466")</f>
        <v>Cooler Macbook A1466</v>
      </c>
      <c r="C1840" s="75">
        <f ca="1">IFERROR(__xludf.DUMMYFUNCTION("""COMPUTED_VALUE"""),140)</f>
        <v>140</v>
      </c>
      <c r="D1840" s="75">
        <f ca="1">IFERROR(__xludf.DUMMYFUNCTION("""COMPUTED_VALUE"""),50)</f>
        <v>50</v>
      </c>
      <c r="E1840" s="76">
        <f ca="1">IFERROR(__xludf.DUMMYFUNCTION("""COMPUTED_VALUE"""),190)</f>
        <v>190</v>
      </c>
      <c r="F1840" s="77">
        <f ca="1">IFERROR(__xludf.DUMMYFUNCTION("""COMPUTED_VALUE"""),20140118)</f>
        <v>20140118</v>
      </c>
      <c r="G1840" s="77" t="str">
        <f t="shared" ca="1" si="7"/>
        <v>si</v>
      </c>
    </row>
    <row r="1841" spans="1:7" ht="12.75" x14ac:dyDescent="0.2">
      <c r="A1841" s="62">
        <f ca="1">IFERROR(__xludf.DUMMYFUNCTION("""COMPUTED_VALUE"""),20140119)</f>
        <v>20140119</v>
      </c>
      <c r="B1841" s="62" t="str">
        <f ca="1">IFERROR(__xludf.DUMMYFUNCTION("""COMPUTED_VALUE"""),"Cooler Macbook A1502")</f>
        <v>Cooler Macbook A1502</v>
      </c>
      <c r="C1841" s="75">
        <f ca="1">IFERROR(__xludf.DUMMYFUNCTION("""COMPUTED_VALUE"""),160)</f>
        <v>160</v>
      </c>
      <c r="D1841" s="75">
        <f ca="1">IFERROR(__xludf.DUMMYFUNCTION("""COMPUTED_VALUE"""),50)</f>
        <v>50</v>
      </c>
      <c r="E1841" s="76">
        <f ca="1">IFERROR(__xludf.DUMMYFUNCTION("""COMPUTED_VALUE"""),210)</f>
        <v>210</v>
      </c>
      <c r="F1841" s="77">
        <f ca="1">IFERROR(__xludf.DUMMYFUNCTION("""COMPUTED_VALUE"""),20140119)</f>
        <v>20140119</v>
      </c>
      <c r="G1841" s="77" t="str">
        <f t="shared" ca="1" si="7"/>
        <v>si</v>
      </c>
    </row>
    <row r="1842" spans="1:7" ht="12.75" x14ac:dyDescent="0.2">
      <c r="A1842" s="62">
        <f ca="1">IFERROR(__xludf.DUMMYFUNCTION("""COMPUTED_VALUE"""),20140120)</f>
        <v>20140120</v>
      </c>
      <c r="B1842" s="62" t="str">
        <f ca="1">IFERROR(__xludf.DUMMYFUNCTION("""COMPUTED_VALUE"""),"Cooler Macbook A1322")</f>
        <v>Cooler Macbook A1322</v>
      </c>
      <c r="C1842" s="75">
        <f ca="1">IFERROR(__xludf.DUMMYFUNCTION("""COMPUTED_VALUE"""),170)</f>
        <v>170</v>
      </c>
      <c r="D1842" s="75">
        <f ca="1">IFERROR(__xludf.DUMMYFUNCTION("""COMPUTED_VALUE"""),50)</f>
        <v>50</v>
      </c>
      <c r="E1842" s="76">
        <f ca="1">IFERROR(__xludf.DUMMYFUNCTION("""COMPUTED_VALUE"""),220)</f>
        <v>220</v>
      </c>
      <c r="F1842" s="77">
        <f ca="1">IFERROR(__xludf.DUMMYFUNCTION("""COMPUTED_VALUE"""),20140120)</f>
        <v>20140120</v>
      </c>
      <c r="G1842" s="77" t="str">
        <f t="shared" ca="1" si="7"/>
        <v>si</v>
      </c>
    </row>
    <row r="1843" spans="1:7" ht="12.75" x14ac:dyDescent="0.2">
      <c r="A1843" s="62">
        <f ca="1">IFERROR(__xludf.DUMMYFUNCTION("""COMPUTED_VALUE"""),20140121)</f>
        <v>20140121</v>
      </c>
      <c r="B1843" s="62" t="str">
        <f ca="1">IFERROR(__xludf.DUMMYFUNCTION("""COMPUTED_VALUE"""),"Cooler Macbook A1398")</f>
        <v>Cooler Macbook A1398</v>
      </c>
      <c r="C1843" s="75">
        <f ca="1">IFERROR(__xludf.DUMMYFUNCTION("""COMPUTED_VALUE"""),250)</f>
        <v>250</v>
      </c>
      <c r="D1843" s="75">
        <f ca="1">IFERROR(__xludf.DUMMYFUNCTION("""COMPUTED_VALUE"""),50)</f>
        <v>50</v>
      </c>
      <c r="E1843" s="76">
        <f ca="1">IFERROR(__xludf.DUMMYFUNCTION("""COMPUTED_VALUE"""),300)</f>
        <v>300</v>
      </c>
      <c r="F1843" s="77">
        <f ca="1">IFERROR(__xludf.DUMMYFUNCTION("""COMPUTED_VALUE"""),20140121)</f>
        <v>20140121</v>
      </c>
      <c r="G1843" s="77" t="str">
        <f t="shared" ca="1" si="7"/>
        <v>si</v>
      </c>
    </row>
    <row r="1844" spans="1:7" ht="12.75" x14ac:dyDescent="0.2">
      <c r="A1844" s="62">
        <f ca="1">IFERROR(__xludf.DUMMYFUNCTION("""COMPUTED_VALUE"""),20140122)</f>
        <v>20140122</v>
      </c>
      <c r="B1844" s="62" t="str">
        <f ca="1">IFERROR(__xludf.DUMMYFUNCTION("""COMPUTED_VALUE"""),"Cooler Macbook A1707")</f>
        <v>Cooler Macbook A1707</v>
      </c>
      <c r="C1844" s="75">
        <f ca="1">IFERROR(__xludf.DUMMYFUNCTION("""COMPUTED_VALUE"""),170)</f>
        <v>170</v>
      </c>
      <c r="D1844" s="75">
        <f ca="1">IFERROR(__xludf.DUMMYFUNCTION("""COMPUTED_VALUE"""),50)</f>
        <v>50</v>
      </c>
      <c r="E1844" s="76">
        <f ca="1">IFERROR(__xludf.DUMMYFUNCTION("""COMPUTED_VALUE"""),220)</f>
        <v>220</v>
      </c>
      <c r="F1844" s="77">
        <f ca="1">IFERROR(__xludf.DUMMYFUNCTION("""COMPUTED_VALUE"""),20140122)</f>
        <v>20140122</v>
      </c>
      <c r="G1844" s="77" t="str">
        <f t="shared" ca="1" si="7"/>
        <v>si</v>
      </c>
    </row>
    <row r="1845" spans="1:7" ht="12.75" x14ac:dyDescent="0.2">
      <c r="A1845" s="62">
        <f ca="1">IFERROR(__xludf.DUMMYFUNCTION("""COMPUTED_VALUE"""),20140123)</f>
        <v>20140123</v>
      </c>
      <c r="B1845" s="62" t="str">
        <f ca="1">IFERROR(__xludf.DUMMYFUNCTION("""COMPUTED_VALUE"""),"Cooler Macbook A1964")</f>
        <v>Cooler Macbook A1964</v>
      </c>
      <c r="C1845" s="75">
        <f ca="1">IFERROR(__xludf.DUMMYFUNCTION("""COMPUTED_VALUE"""),170)</f>
        <v>170</v>
      </c>
      <c r="D1845" s="75">
        <f ca="1">IFERROR(__xludf.DUMMYFUNCTION("""COMPUTED_VALUE"""),50)</f>
        <v>50</v>
      </c>
      <c r="E1845" s="76">
        <f ca="1">IFERROR(__xludf.DUMMYFUNCTION("""COMPUTED_VALUE"""),220)</f>
        <v>220</v>
      </c>
      <c r="F1845" s="77">
        <f ca="1">IFERROR(__xludf.DUMMYFUNCTION("""COMPUTED_VALUE"""),20140123)</f>
        <v>20140123</v>
      </c>
      <c r="G1845" s="77" t="str">
        <f t="shared" ca="1" si="7"/>
        <v>si</v>
      </c>
    </row>
    <row r="1846" spans="1:7" ht="12.75" x14ac:dyDescent="0.2">
      <c r="A1846" s="62">
        <f ca="1">IFERROR(__xludf.DUMMYFUNCTION("""COMPUTED_VALUE"""),20140124)</f>
        <v>20140124</v>
      </c>
      <c r="B1846" s="62" t="str">
        <f ca="1">IFERROR(__xludf.DUMMYFUNCTION("""COMPUTED_VALUE"""),"Cooler Macbook A1706")</f>
        <v>Cooler Macbook A1706</v>
      </c>
      <c r="C1846" s="75">
        <f ca="1">IFERROR(__xludf.DUMMYFUNCTION("""COMPUTED_VALUE"""),170)</f>
        <v>170</v>
      </c>
      <c r="D1846" s="75">
        <f ca="1">IFERROR(__xludf.DUMMYFUNCTION("""COMPUTED_VALUE"""),50)</f>
        <v>50</v>
      </c>
      <c r="E1846" s="76">
        <f ca="1">IFERROR(__xludf.DUMMYFUNCTION("""COMPUTED_VALUE"""),220)</f>
        <v>220</v>
      </c>
      <c r="F1846" s="77">
        <f ca="1">IFERROR(__xludf.DUMMYFUNCTION("""COMPUTED_VALUE"""),20140124)</f>
        <v>20140124</v>
      </c>
      <c r="G1846" s="77" t="str">
        <f t="shared" ca="1" si="7"/>
        <v>si</v>
      </c>
    </row>
    <row r="1847" spans="1:7" ht="12.75" x14ac:dyDescent="0.2">
      <c r="A1847" s="62">
        <f ca="1">IFERROR(__xludf.DUMMYFUNCTION("""COMPUTED_VALUE"""),20140125)</f>
        <v>20140125</v>
      </c>
      <c r="B1847" s="62" t="str">
        <f ca="1">IFERROR(__xludf.DUMMYFUNCTION("""COMPUTED_VALUE"""),"Cooler Macbook A1953")</f>
        <v>Cooler Macbook A1953</v>
      </c>
      <c r="C1847" s="75">
        <f ca="1">IFERROR(__xludf.DUMMYFUNCTION("""COMPUTED_VALUE"""),170)</f>
        <v>170</v>
      </c>
      <c r="D1847" s="75">
        <f ca="1">IFERROR(__xludf.DUMMYFUNCTION("""COMPUTED_VALUE"""),50)</f>
        <v>50</v>
      </c>
      <c r="E1847" s="76">
        <f ca="1">IFERROR(__xludf.DUMMYFUNCTION("""COMPUTED_VALUE"""),220)</f>
        <v>220</v>
      </c>
      <c r="F1847" s="77">
        <f ca="1">IFERROR(__xludf.DUMMYFUNCTION("""COMPUTED_VALUE"""),20140125)</f>
        <v>20140125</v>
      </c>
      <c r="G1847" s="77" t="str">
        <f t="shared" ca="1" si="7"/>
        <v>si</v>
      </c>
    </row>
    <row r="1848" spans="1:7" ht="12.75" x14ac:dyDescent="0.2">
      <c r="A1848" s="62">
        <f ca="1">IFERROR(__xludf.DUMMYFUNCTION("""COMPUTED_VALUE"""),20140201)</f>
        <v>20140201</v>
      </c>
      <c r="B1848" s="62" t="str">
        <f ca="1">IFERROR(__xludf.DUMMYFUNCTION("""COMPUTED_VALUE"""),"Cooler Macbook A1708")</f>
        <v>Cooler Macbook A1708</v>
      </c>
      <c r="C1848" s="75">
        <f ca="1">IFERROR(__xludf.DUMMYFUNCTION("""COMPUTED_VALUE"""),170)</f>
        <v>170</v>
      </c>
      <c r="D1848" s="75">
        <f ca="1">IFERROR(__xludf.DUMMYFUNCTION("""COMPUTED_VALUE"""),50)</f>
        <v>50</v>
      </c>
      <c r="E1848" s="76">
        <f ca="1">IFERROR(__xludf.DUMMYFUNCTION("""COMPUTED_VALUE"""),220)</f>
        <v>220</v>
      </c>
      <c r="F1848" s="77">
        <f ca="1">IFERROR(__xludf.DUMMYFUNCTION("""COMPUTED_VALUE"""),20140201)</f>
        <v>20140201</v>
      </c>
      <c r="G1848" s="77" t="str">
        <f t="shared" ca="1" si="7"/>
        <v>si</v>
      </c>
    </row>
    <row r="1849" spans="1:7" ht="12.75" x14ac:dyDescent="0.2">
      <c r="A1849" s="62">
        <f ca="1">IFERROR(__xludf.DUMMYFUNCTION("""COMPUTED_VALUE"""),20140202)</f>
        <v>20140202</v>
      </c>
      <c r="B1849" s="62" t="str">
        <f ca="1">IFERROR(__xludf.DUMMYFUNCTION("""COMPUTED_VALUE"""),"Cooler Macbook A2159")</f>
        <v>Cooler Macbook A2159</v>
      </c>
      <c r="C1849" s="75">
        <f ca="1">IFERROR(__xludf.DUMMYFUNCTION("""COMPUTED_VALUE"""),170)</f>
        <v>170</v>
      </c>
      <c r="D1849" s="75">
        <f ca="1">IFERROR(__xludf.DUMMYFUNCTION("""COMPUTED_VALUE"""),50)</f>
        <v>50</v>
      </c>
      <c r="E1849" s="76">
        <f ca="1">IFERROR(__xludf.DUMMYFUNCTION("""COMPUTED_VALUE"""),220)</f>
        <v>220</v>
      </c>
      <c r="F1849" s="77">
        <f ca="1">IFERROR(__xludf.DUMMYFUNCTION("""COMPUTED_VALUE"""),20140202)</f>
        <v>20140202</v>
      </c>
      <c r="G1849" s="77" t="str">
        <f t="shared" ca="1" si="7"/>
        <v>si</v>
      </c>
    </row>
    <row r="1850" spans="1:7" ht="12.75" x14ac:dyDescent="0.2">
      <c r="A1850" s="62">
        <f ca="1">IFERROR(__xludf.DUMMYFUNCTION("""COMPUTED_VALUE"""),20140203)</f>
        <v>20140203</v>
      </c>
      <c r="B1850" s="62" t="str">
        <f ca="1">IFERROR(__xludf.DUMMYFUNCTION("""COMPUTED_VALUE"""),"Cooler Macbook A1989")</f>
        <v>Cooler Macbook A1989</v>
      </c>
      <c r="C1850" s="75">
        <f ca="1">IFERROR(__xludf.DUMMYFUNCTION("""COMPUTED_VALUE"""),170)</f>
        <v>170</v>
      </c>
      <c r="D1850" s="75">
        <f ca="1">IFERROR(__xludf.DUMMYFUNCTION("""COMPUTED_VALUE"""),50)</f>
        <v>50</v>
      </c>
      <c r="E1850" s="76">
        <f ca="1">IFERROR(__xludf.DUMMYFUNCTION("""COMPUTED_VALUE"""),220)</f>
        <v>220</v>
      </c>
      <c r="F1850" s="77">
        <f ca="1">IFERROR(__xludf.DUMMYFUNCTION("""COMPUTED_VALUE"""),20140203)</f>
        <v>20140203</v>
      </c>
      <c r="G1850" s="77" t="str">
        <f t="shared" ca="1" si="7"/>
        <v>si</v>
      </c>
    </row>
    <row r="1851" spans="1:7" ht="12.75" x14ac:dyDescent="0.2">
      <c r="A1851" s="62">
        <f ca="1">IFERROR(__xludf.DUMMYFUNCTION("""COMPUTED_VALUE"""),20140204)</f>
        <v>20140204</v>
      </c>
      <c r="B1851" s="62" t="str">
        <f ca="1">IFERROR(__xludf.DUMMYFUNCTION("""COMPUTED_VALUE"""),"Cooler Macbook A2251")</f>
        <v>Cooler Macbook A2251</v>
      </c>
      <c r="C1851" s="75">
        <f ca="1">IFERROR(__xludf.DUMMYFUNCTION("""COMPUTED_VALUE"""),190)</f>
        <v>190</v>
      </c>
      <c r="D1851" s="75">
        <f ca="1">IFERROR(__xludf.DUMMYFUNCTION("""COMPUTED_VALUE"""),50)</f>
        <v>50</v>
      </c>
      <c r="E1851" s="76">
        <f ca="1">IFERROR(__xludf.DUMMYFUNCTION("""COMPUTED_VALUE"""),240)</f>
        <v>240</v>
      </c>
      <c r="F1851" s="77">
        <f ca="1">IFERROR(__xludf.DUMMYFUNCTION("""COMPUTED_VALUE"""),20140204)</f>
        <v>20140204</v>
      </c>
      <c r="G1851" s="77" t="str">
        <f t="shared" ca="1" si="7"/>
        <v>si</v>
      </c>
    </row>
    <row r="1852" spans="1:7" ht="12.75" x14ac:dyDescent="0.2">
      <c r="A1852" s="62">
        <f ca="1">IFERROR(__xludf.DUMMYFUNCTION("""COMPUTED_VALUE"""),20140205)</f>
        <v>20140205</v>
      </c>
      <c r="B1852" s="62" t="str">
        <f ca="1">IFERROR(__xludf.DUMMYFUNCTION("""COMPUTED_VALUE"""),"Cooler Macbook A1932")</f>
        <v>Cooler Macbook A1932</v>
      </c>
      <c r="C1852" s="75">
        <f ca="1">IFERROR(__xludf.DUMMYFUNCTION("""COMPUTED_VALUE"""),170)</f>
        <v>170</v>
      </c>
      <c r="D1852" s="75">
        <f ca="1">IFERROR(__xludf.DUMMYFUNCTION("""COMPUTED_VALUE"""),50)</f>
        <v>50</v>
      </c>
      <c r="E1852" s="76">
        <f ca="1">IFERROR(__xludf.DUMMYFUNCTION("""COMPUTED_VALUE"""),220)</f>
        <v>220</v>
      </c>
      <c r="F1852" s="77">
        <f ca="1">IFERROR(__xludf.DUMMYFUNCTION("""COMPUTED_VALUE"""),20140205)</f>
        <v>20140205</v>
      </c>
      <c r="G1852" s="77" t="str">
        <f t="shared" ca="1" si="7"/>
        <v>si</v>
      </c>
    </row>
    <row r="1853" spans="1:7" ht="12.75" x14ac:dyDescent="0.2">
      <c r="A1853" s="62">
        <f ca="1">IFERROR(__xludf.DUMMYFUNCTION("""COMPUTED_VALUE"""),20140206)</f>
        <v>20140206</v>
      </c>
      <c r="B1853" s="62" t="str">
        <f ca="1">IFERROR(__xludf.DUMMYFUNCTION("""COMPUTED_VALUE"""),"Cooler Macbook A2337")</f>
        <v>Cooler Macbook A2337</v>
      </c>
      <c r="C1853" s="75">
        <f ca="1">IFERROR(__xludf.DUMMYFUNCTION("""COMPUTED_VALUE"""),170)</f>
        <v>170</v>
      </c>
      <c r="D1853" s="75">
        <f ca="1">IFERROR(__xludf.DUMMYFUNCTION("""COMPUTED_VALUE"""),50)</f>
        <v>50</v>
      </c>
      <c r="E1853" s="76">
        <f ca="1">IFERROR(__xludf.DUMMYFUNCTION("""COMPUTED_VALUE"""),220)</f>
        <v>220</v>
      </c>
      <c r="F1853" s="77">
        <f ca="1">IFERROR(__xludf.DUMMYFUNCTION("""COMPUTED_VALUE"""),20140206)</f>
        <v>20140206</v>
      </c>
      <c r="G1853" s="77" t="str">
        <f t="shared" ca="1" si="7"/>
        <v>si</v>
      </c>
    </row>
    <row r="1854" spans="1:7" ht="12.75" x14ac:dyDescent="0.2">
      <c r="A1854" s="62">
        <f ca="1">IFERROR(__xludf.DUMMYFUNCTION("""COMPUTED_VALUE"""),20140207)</f>
        <v>20140207</v>
      </c>
      <c r="B1854" s="62" t="str">
        <f ca="1">IFERROR(__xludf.DUMMYFUNCTION("""COMPUTED_VALUE"""),"Cooler Macbook A2338")</f>
        <v>Cooler Macbook A2338</v>
      </c>
      <c r="C1854" s="75">
        <f ca="1">IFERROR(__xludf.DUMMYFUNCTION("""COMPUTED_VALUE"""),170)</f>
        <v>170</v>
      </c>
      <c r="D1854" s="75">
        <f ca="1">IFERROR(__xludf.DUMMYFUNCTION("""COMPUTED_VALUE"""),50)</f>
        <v>50</v>
      </c>
      <c r="E1854" s="76">
        <f ca="1">IFERROR(__xludf.DUMMYFUNCTION("""COMPUTED_VALUE"""),220)</f>
        <v>220</v>
      </c>
      <c r="F1854" s="77">
        <f ca="1">IFERROR(__xludf.DUMMYFUNCTION("""COMPUTED_VALUE"""),20140207)</f>
        <v>20140207</v>
      </c>
      <c r="G1854" s="77" t="str">
        <f t="shared" ca="1" si="7"/>
        <v>si</v>
      </c>
    </row>
    <row r="1855" spans="1:7" ht="12.75" x14ac:dyDescent="0.2">
      <c r="A1855" s="62">
        <f ca="1">IFERROR(__xludf.DUMMYFUNCTION("""COMPUTED_VALUE"""),20140208)</f>
        <v>20140208</v>
      </c>
      <c r="B1855" s="62" t="str">
        <f ca="1">IFERROR(__xludf.DUMMYFUNCTION("""COMPUTED_VALUE"""),"Cooler Macbook A2179")</f>
        <v>Cooler Macbook A2179</v>
      </c>
      <c r="C1855" s="75">
        <f ca="1">IFERROR(__xludf.DUMMYFUNCTION("""COMPUTED_VALUE"""),170)</f>
        <v>170</v>
      </c>
      <c r="D1855" s="75">
        <f ca="1">IFERROR(__xludf.DUMMYFUNCTION("""COMPUTED_VALUE"""),50)</f>
        <v>50</v>
      </c>
      <c r="E1855" s="76">
        <f ca="1">IFERROR(__xludf.DUMMYFUNCTION("""COMPUTED_VALUE"""),220)</f>
        <v>220</v>
      </c>
      <c r="F1855" s="77">
        <f ca="1">IFERROR(__xludf.DUMMYFUNCTION("""COMPUTED_VALUE"""),20140208)</f>
        <v>20140208</v>
      </c>
      <c r="G1855" s="77" t="str">
        <f t="shared" ca="1" si="7"/>
        <v>si</v>
      </c>
    </row>
    <row r="1856" spans="1:7" ht="12.75" x14ac:dyDescent="0.2">
      <c r="A1856" s="62">
        <f ca="1">IFERROR(__xludf.DUMMYFUNCTION("""COMPUTED_VALUE"""),20140209)</f>
        <v>20140209</v>
      </c>
      <c r="B1856" s="62" t="str">
        <f ca="1">IFERROR(__xludf.DUMMYFUNCTION("""COMPUTED_VALUE"""),"Cooler Macbook A2141")</f>
        <v>Cooler Macbook A2141</v>
      </c>
      <c r="C1856" s="75">
        <f ca="1">IFERROR(__xludf.DUMMYFUNCTION("""COMPUTED_VALUE"""),170)</f>
        <v>170</v>
      </c>
      <c r="D1856" s="75">
        <f ca="1">IFERROR(__xludf.DUMMYFUNCTION("""COMPUTED_VALUE"""),50)</f>
        <v>50</v>
      </c>
      <c r="E1856" s="76">
        <f ca="1">IFERROR(__xludf.DUMMYFUNCTION("""COMPUTED_VALUE"""),220)</f>
        <v>220</v>
      </c>
      <c r="F1856" s="77">
        <f ca="1">IFERROR(__xludf.DUMMYFUNCTION("""COMPUTED_VALUE"""),20140209)</f>
        <v>20140209</v>
      </c>
      <c r="G1856" s="77" t="str">
        <f t="shared" ca="1" si="7"/>
        <v>si</v>
      </c>
    </row>
    <row r="1857" spans="1:7" ht="12.75" x14ac:dyDescent="0.2">
      <c r="A1857" s="62">
        <f ca="1">IFERROR(__xludf.DUMMYFUNCTION("""COMPUTED_VALUE"""),20140382)</f>
        <v>20140382</v>
      </c>
      <c r="B1857" s="62" t="str">
        <f ca="1">IFERROR(__xludf.DUMMYFUNCTION("""COMPUTED_VALUE"""),"Audio Board Power Cable for MacBook A1466 2013 2014 2015 13"" Air")</f>
        <v>Audio Board Power Cable for MacBook A1466 2013 2014 2015 13" Air</v>
      </c>
      <c r="C1857" s="75">
        <f ca="1">IFERROR(__xludf.DUMMYFUNCTION("""COMPUTED_VALUE"""),100)</f>
        <v>100</v>
      </c>
      <c r="D1857" s="75">
        <f ca="1">IFERROR(__xludf.DUMMYFUNCTION("""COMPUTED_VALUE"""),50)</f>
        <v>50</v>
      </c>
      <c r="E1857" s="76">
        <f ca="1">IFERROR(__xludf.DUMMYFUNCTION("""COMPUTED_VALUE"""),150)</f>
        <v>150</v>
      </c>
      <c r="F1857" s="77">
        <f ca="1">IFERROR(__xludf.DUMMYFUNCTION("""COMPUTED_VALUE"""),20140382)</f>
        <v>20140382</v>
      </c>
      <c r="G1857" s="77" t="str">
        <f t="shared" ca="1" si="7"/>
        <v>si</v>
      </c>
    </row>
    <row r="1858" spans="1:7" ht="12.75" x14ac:dyDescent="0.2">
      <c r="A1858" s="62">
        <f ca="1">IFERROR(__xludf.DUMMYFUNCTION("""COMPUTED_VALUE"""),20140294)</f>
        <v>20140294</v>
      </c>
      <c r="B1858" s="62" t="str">
        <f ca="1">IFERROR(__xludf.DUMMYFUNCTION("""COMPUTED_VALUE"""),"A1466 2013-2017 Cable de Placa Audio")</f>
        <v>A1466 2013-2017 Cable de Placa Audio</v>
      </c>
      <c r="C1858" s="75">
        <f ca="1">IFERROR(__xludf.DUMMYFUNCTION("""COMPUTED_VALUE"""),250)</f>
        <v>250</v>
      </c>
      <c r="D1858" s="75">
        <f ca="1">IFERROR(__xludf.DUMMYFUNCTION("""COMPUTED_VALUE"""),200)</f>
        <v>200</v>
      </c>
      <c r="E1858" s="76">
        <f ca="1">IFERROR(__xludf.DUMMYFUNCTION("""COMPUTED_VALUE"""),450)</f>
        <v>450</v>
      </c>
      <c r="F1858" s="77">
        <f ca="1">IFERROR(__xludf.DUMMYFUNCTION("""COMPUTED_VALUE"""),20140294)</f>
        <v>20140294</v>
      </c>
      <c r="G1858" s="77" t="str">
        <f t="shared" ca="1" si="7"/>
        <v>si</v>
      </c>
    </row>
    <row r="1859" spans="1:7" ht="12.75" x14ac:dyDescent="0.2">
      <c r="A1859" s="62">
        <f ca="1">IFERROR(__xludf.DUMMYFUNCTION("""COMPUTED_VALUE"""),20140295)</f>
        <v>20140295</v>
      </c>
      <c r="B1859" s="62" t="str">
        <f ca="1">IFERROR(__xludf.DUMMYFUNCTION("""COMPUTED_VALUE"""),"A1932 2018-2019 Cable de Placa Audio")</f>
        <v>A1932 2018-2019 Cable de Placa Audio</v>
      </c>
      <c r="C1859" s="75">
        <f ca="1">IFERROR(__xludf.DUMMYFUNCTION("""COMPUTED_VALUE"""),250)</f>
        <v>250</v>
      </c>
      <c r="D1859" s="75">
        <f ca="1">IFERROR(__xludf.DUMMYFUNCTION("""COMPUTED_VALUE"""),200)</f>
        <v>200</v>
      </c>
      <c r="E1859" s="76">
        <f ca="1">IFERROR(__xludf.DUMMYFUNCTION("""COMPUTED_VALUE"""),450)</f>
        <v>450</v>
      </c>
      <c r="F1859" s="77">
        <f ca="1">IFERROR(__xludf.DUMMYFUNCTION("""COMPUTED_VALUE"""),20140295)</f>
        <v>20140295</v>
      </c>
      <c r="G1859" s="77" t="str">
        <f t="shared" ca="1" si="7"/>
        <v>si</v>
      </c>
    </row>
    <row r="1860" spans="1:7" ht="12.75" x14ac:dyDescent="0.2">
      <c r="A1860" s="62">
        <f ca="1">IFERROR(__xludf.DUMMYFUNCTION("""COMPUTED_VALUE"""),20140296)</f>
        <v>20140296</v>
      </c>
      <c r="B1860" s="62" t="str">
        <f ca="1">IFERROR(__xludf.DUMMYFUNCTION("""COMPUTED_VALUE"""),"A2179 / A2337  2020 Cable de Placa Audio")</f>
        <v>A2179 / A2337  2020 Cable de Placa Audio</v>
      </c>
      <c r="C1860" s="75">
        <f ca="1">IFERROR(__xludf.DUMMYFUNCTION("""COMPUTED_VALUE"""),250)</f>
        <v>250</v>
      </c>
      <c r="D1860" s="75">
        <f ca="1">IFERROR(__xludf.DUMMYFUNCTION("""COMPUTED_VALUE"""),200)</f>
        <v>200</v>
      </c>
      <c r="E1860" s="76">
        <f ca="1">IFERROR(__xludf.DUMMYFUNCTION("""COMPUTED_VALUE"""),450)</f>
        <v>450</v>
      </c>
      <c r="F1860" s="77">
        <f ca="1">IFERROR(__xludf.DUMMYFUNCTION("""COMPUTED_VALUE"""),20140296)</f>
        <v>20140296</v>
      </c>
      <c r="G1860" s="77" t="str">
        <f t="shared" ca="1" si="7"/>
        <v>si</v>
      </c>
    </row>
    <row r="1861" spans="1:7" ht="12.75" x14ac:dyDescent="0.2">
      <c r="A1861" s="62">
        <f ca="1">IFERROR(__xludf.DUMMYFUNCTION("""COMPUTED_VALUE"""),20140126)</f>
        <v>20140126</v>
      </c>
      <c r="B1861" s="62" t="str">
        <f ca="1">IFERROR(__xludf.DUMMYFUNCTION("""COMPUTED_VALUE"""),"Goma de base Macbook A1398")</f>
        <v>Goma de base Macbook A1398</v>
      </c>
      <c r="C1861" s="75">
        <f ca="1">IFERROR(__xludf.DUMMYFUNCTION("""COMPUTED_VALUE"""),28)</f>
        <v>28</v>
      </c>
      <c r="D1861" s="75">
        <f ca="1">IFERROR(__xludf.DUMMYFUNCTION("""COMPUTED_VALUE"""),2)</f>
        <v>2</v>
      </c>
      <c r="E1861" s="76">
        <f ca="1">IFERROR(__xludf.DUMMYFUNCTION("""COMPUTED_VALUE"""),30)</f>
        <v>30</v>
      </c>
      <c r="F1861" s="77">
        <f ca="1">IFERROR(__xludf.DUMMYFUNCTION("""COMPUTED_VALUE"""),20140126)</f>
        <v>20140126</v>
      </c>
      <c r="G1861" s="77" t="str">
        <f t="shared" ca="1" si="7"/>
        <v>si</v>
      </c>
    </row>
    <row r="1862" spans="1:7" ht="12.75" x14ac:dyDescent="0.2">
      <c r="A1862" s="62">
        <f ca="1">IFERROR(__xludf.DUMMYFUNCTION("""COMPUTED_VALUE"""),20140127)</f>
        <v>20140127</v>
      </c>
      <c r="B1862" s="62" t="str">
        <f ca="1">IFERROR(__xludf.DUMMYFUNCTION("""COMPUTED_VALUE"""),"Goma de base Macbook A1322")</f>
        <v>Goma de base Macbook A1322</v>
      </c>
      <c r="C1862" s="75">
        <f ca="1">IFERROR(__xludf.DUMMYFUNCTION("""COMPUTED_VALUE"""),28)</f>
        <v>28</v>
      </c>
      <c r="D1862" s="75">
        <f ca="1">IFERROR(__xludf.DUMMYFUNCTION("""COMPUTED_VALUE"""),2)</f>
        <v>2</v>
      </c>
      <c r="E1862" s="76">
        <f ca="1">IFERROR(__xludf.DUMMYFUNCTION("""COMPUTED_VALUE"""),30)</f>
        <v>30</v>
      </c>
      <c r="F1862" s="77">
        <f ca="1">IFERROR(__xludf.DUMMYFUNCTION("""COMPUTED_VALUE"""),20140127)</f>
        <v>20140127</v>
      </c>
      <c r="G1862" s="77" t="str">
        <f t="shared" ca="1" si="7"/>
        <v>si</v>
      </c>
    </row>
    <row r="1863" spans="1:7" ht="12.75" x14ac:dyDescent="0.2">
      <c r="A1863" s="62">
        <f ca="1">IFERROR(__xludf.DUMMYFUNCTION("""COMPUTED_VALUE"""),20140128)</f>
        <v>20140128</v>
      </c>
      <c r="B1863" s="62" t="str">
        <f ca="1">IFERROR(__xludf.DUMMYFUNCTION("""COMPUTED_VALUE"""),"Goma de base Macbook A1466")</f>
        <v>Goma de base Macbook A1466</v>
      </c>
      <c r="C1863" s="75">
        <f ca="1">IFERROR(__xludf.DUMMYFUNCTION("""COMPUTED_VALUE"""),28)</f>
        <v>28</v>
      </c>
      <c r="D1863" s="75">
        <f ca="1">IFERROR(__xludf.DUMMYFUNCTION("""COMPUTED_VALUE"""),2)</f>
        <v>2</v>
      </c>
      <c r="E1863" s="76">
        <f ca="1">IFERROR(__xludf.DUMMYFUNCTION("""COMPUTED_VALUE"""),30)</f>
        <v>30</v>
      </c>
      <c r="F1863" s="77">
        <f ca="1">IFERROR(__xludf.DUMMYFUNCTION("""COMPUTED_VALUE"""),20140128)</f>
        <v>20140128</v>
      </c>
      <c r="G1863" s="77" t="str">
        <f t="shared" ca="1" si="7"/>
        <v>si</v>
      </c>
    </row>
    <row r="1864" spans="1:7" ht="12.75" x14ac:dyDescent="0.2">
      <c r="A1864" s="62">
        <f ca="1">IFERROR(__xludf.DUMMYFUNCTION("""COMPUTED_VALUE"""),20140129)</f>
        <v>20140129</v>
      </c>
      <c r="B1864" s="62" t="str">
        <f ca="1">IFERROR(__xludf.DUMMYFUNCTION("""COMPUTED_VALUE"""),"Goma de base Macbook A1502")</f>
        <v>Goma de base Macbook A1502</v>
      </c>
      <c r="C1864" s="75">
        <f ca="1">IFERROR(__xludf.DUMMYFUNCTION("""COMPUTED_VALUE"""),28)</f>
        <v>28</v>
      </c>
      <c r="D1864" s="75">
        <f ca="1">IFERROR(__xludf.DUMMYFUNCTION("""COMPUTED_VALUE"""),2)</f>
        <v>2</v>
      </c>
      <c r="E1864" s="76">
        <f ca="1">IFERROR(__xludf.DUMMYFUNCTION("""COMPUTED_VALUE"""),30)</f>
        <v>30</v>
      </c>
      <c r="F1864" s="77">
        <f ca="1">IFERROR(__xludf.DUMMYFUNCTION("""COMPUTED_VALUE"""),20140129)</f>
        <v>20140129</v>
      </c>
      <c r="G1864" s="77" t="str">
        <f t="shared" ca="1" si="7"/>
        <v>si</v>
      </c>
    </row>
    <row r="1865" spans="1:7" ht="12.75" x14ac:dyDescent="0.2">
      <c r="A1865" s="62">
        <f ca="1">IFERROR(__xludf.DUMMYFUNCTION("""COMPUTED_VALUE"""),20140130)</f>
        <v>20140130</v>
      </c>
      <c r="B1865" s="62" t="str">
        <f ca="1">IFERROR(__xludf.DUMMYFUNCTION("""COMPUTED_VALUE"""),"Goma de base Macbook A1707")</f>
        <v>Goma de base Macbook A1707</v>
      </c>
      <c r="C1865" s="75">
        <f ca="1">IFERROR(__xludf.DUMMYFUNCTION("""COMPUTED_VALUE"""),28)</f>
        <v>28</v>
      </c>
      <c r="D1865" s="75">
        <f ca="1">IFERROR(__xludf.DUMMYFUNCTION("""COMPUTED_VALUE"""),2)</f>
        <v>2</v>
      </c>
      <c r="E1865" s="76">
        <f ca="1">IFERROR(__xludf.DUMMYFUNCTION("""COMPUTED_VALUE"""),30)</f>
        <v>30</v>
      </c>
      <c r="F1865" s="77">
        <f ca="1">IFERROR(__xludf.DUMMYFUNCTION("""COMPUTED_VALUE"""),20140130)</f>
        <v>20140130</v>
      </c>
      <c r="G1865" s="77" t="str">
        <f t="shared" ca="1" si="7"/>
        <v>si</v>
      </c>
    </row>
    <row r="1866" spans="1:7" ht="12.75" x14ac:dyDescent="0.2">
      <c r="A1866" s="62">
        <f ca="1">IFERROR(__xludf.DUMMYFUNCTION("""COMPUTED_VALUE"""),20140131)</f>
        <v>20140131</v>
      </c>
      <c r="B1866" s="62" t="str">
        <f ca="1">IFERROR(__xludf.DUMMYFUNCTION("""COMPUTED_VALUE"""),"Goma de base Macbook A1953")</f>
        <v>Goma de base Macbook A1953</v>
      </c>
      <c r="C1866" s="75">
        <f ca="1">IFERROR(__xludf.DUMMYFUNCTION("""COMPUTED_VALUE"""),28)</f>
        <v>28</v>
      </c>
      <c r="D1866" s="75">
        <f ca="1">IFERROR(__xludf.DUMMYFUNCTION("""COMPUTED_VALUE"""),2)</f>
        <v>2</v>
      </c>
      <c r="E1866" s="76">
        <f ca="1">IFERROR(__xludf.DUMMYFUNCTION("""COMPUTED_VALUE"""),30)</f>
        <v>30</v>
      </c>
      <c r="F1866" s="77">
        <f ca="1">IFERROR(__xludf.DUMMYFUNCTION("""COMPUTED_VALUE"""),20140131)</f>
        <v>20140131</v>
      </c>
      <c r="G1866" s="77" t="str">
        <f t="shared" ca="1" si="7"/>
        <v>si</v>
      </c>
    </row>
    <row r="1867" spans="1:7" ht="12.75" x14ac:dyDescent="0.2">
      <c r="A1867" s="62">
        <f ca="1">IFERROR(__xludf.DUMMYFUNCTION("""COMPUTED_VALUE"""),20140132)</f>
        <v>20140132</v>
      </c>
      <c r="B1867" s="62" t="str">
        <f ca="1">IFERROR(__xludf.DUMMYFUNCTION("""COMPUTED_VALUE"""),"Goma de base Macbook A1706")</f>
        <v>Goma de base Macbook A1706</v>
      </c>
      <c r="C1867" s="75">
        <f ca="1">IFERROR(__xludf.DUMMYFUNCTION("""COMPUTED_VALUE"""),28)</f>
        <v>28</v>
      </c>
      <c r="D1867" s="75">
        <f ca="1">IFERROR(__xludf.DUMMYFUNCTION("""COMPUTED_VALUE"""),2)</f>
        <v>2</v>
      </c>
      <c r="E1867" s="76">
        <f ca="1">IFERROR(__xludf.DUMMYFUNCTION("""COMPUTED_VALUE"""),30)</f>
        <v>30</v>
      </c>
      <c r="F1867" s="77">
        <f ca="1">IFERROR(__xludf.DUMMYFUNCTION("""COMPUTED_VALUE"""),20140132)</f>
        <v>20140132</v>
      </c>
      <c r="G1867" s="77" t="str">
        <f t="shared" ca="1" si="7"/>
        <v>si</v>
      </c>
    </row>
    <row r="1868" spans="1:7" ht="12.75" x14ac:dyDescent="0.2">
      <c r="A1868" s="62">
        <f ca="1">IFERROR(__xludf.DUMMYFUNCTION("""COMPUTED_VALUE"""),20140133)</f>
        <v>20140133</v>
      </c>
      <c r="B1868" s="62" t="str">
        <f ca="1">IFERROR(__xludf.DUMMYFUNCTION("""COMPUTED_VALUE"""),"Goma de base Macbook A1964")</f>
        <v>Goma de base Macbook A1964</v>
      </c>
      <c r="C1868" s="75">
        <f ca="1">IFERROR(__xludf.DUMMYFUNCTION("""COMPUTED_VALUE"""),28)</f>
        <v>28</v>
      </c>
      <c r="D1868" s="75">
        <f ca="1">IFERROR(__xludf.DUMMYFUNCTION("""COMPUTED_VALUE"""),2)</f>
        <v>2</v>
      </c>
      <c r="E1868" s="76">
        <f ca="1">IFERROR(__xludf.DUMMYFUNCTION("""COMPUTED_VALUE"""),30)</f>
        <v>30</v>
      </c>
      <c r="F1868" s="77">
        <f ca="1">IFERROR(__xludf.DUMMYFUNCTION("""COMPUTED_VALUE"""),20140133)</f>
        <v>20140133</v>
      </c>
      <c r="G1868" s="77" t="str">
        <f t="shared" ca="1" si="7"/>
        <v>si</v>
      </c>
    </row>
    <row r="1869" spans="1:7" ht="12.75" x14ac:dyDescent="0.2">
      <c r="A1869" s="62">
        <f ca="1">IFERROR(__xludf.DUMMYFUNCTION("""COMPUTED_VALUE"""),20140134)</f>
        <v>20140134</v>
      </c>
      <c r="B1869" s="62" t="str">
        <f ca="1">IFERROR(__xludf.DUMMYFUNCTION("""COMPUTED_VALUE"""),"Goma de base Macbook A2179")</f>
        <v>Goma de base Macbook A2179</v>
      </c>
      <c r="C1869" s="75">
        <f ca="1">IFERROR(__xludf.DUMMYFUNCTION("""COMPUTED_VALUE"""),28)</f>
        <v>28</v>
      </c>
      <c r="D1869" s="75">
        <f ca="1">IFERROR(__xludf.DUMMYFUNCTION("""COMPUTED_VALUE"""),2)</f>
        <v>2</v>
      </c>
      <c r="E1869" s="76">
        <f ca="1">IFERROR(__xludf.DUMMYFUNCTION("""COMPUTED_VALUE"""),30)</f>
        <v>30</v>
      </c>
      <c r="F1869" s="77">
        <f ca="1">IFERROR(__xludf.DUMMYFUNCTION("""COMPUTED_VALUE"""),20140134)</f>
        <v>20140134</v>
      </c>
      <c r="G1869" s="77" t="str">
        <f t="shared" ca="1" si="7"/>
        <v>si</v>
      </c>
    </row>
    <row r="1870" spans="1:7" ht="12.75" x14ac:dyDescent="0.2">
      <c r="A1870" s="62">
        <f ca="1">IFERROR(__xludf.DUMMYFUNCTION("""COMPUTED_VALUE"""),20140135)</f>
        <v>20140135</v>
      </c>
      <c r="B1870" s="62" t="str">
        <f ca="1">IFERROR(__xludf.DUMMYFUNCTION("""COMPUTED_VALUE"""),"Goma de base Macbook A1932")</f>
        <v>Goma de base Macbook A1932</v>
      </c>
      <c r="C1870" s="75">
        <f ca="1">IFERROR(__xludf.DUMMYFUNCTION("""COMPUTED_VALUE"""),28)</f>
        <v>28</v>
      </c>
      <c r="D1870" s="75">
        <f ca="1">IFERROR(__xludf.DUMMYFUNCTION("""COMPUTED_VALUE"""),2)</f>
        <v>2</v>
      </c>
      <c r="E1870" s="76">
        <f ca="1">IFERROR(__xludf.DUMMYFUNCTION("""COMPUTED_VALUE"""),30)</f>
        <v>30</v>
      </c>
      <c r="F1870" s="77">
        <f ca="1">IFERROR(__xludf.DUMMYFUNCTION("""COMPUTED_VALUE"""),20140135)</f>
        <v>20140135</v>
      </c>
      <c r="G1870" s="77" t="str">
        <f t="shared" ca="1" si="7"/>
        <v>si</v>
      </c>
    </row>
    <row r="1871" spans="1:7" ht="12.75" x14ac:dyDescent="0.2">
      <c r="A1871" s="62">
        <f ca="1">IFERROR(__xludf.DUMMYFUNCTION("""COMPUTED_VALUE"""),20140136)</f>
        <v>20140136</v>
      </c>
      <c r="B1871" s="62" t="str">
        <f ca="1">IFERROR(__xludf.DUMMYFUNCTION("""COMPUTED_VALUE"""),"Goma de base Macbook A2337")</f>
        <v>Goma de base Macbook A2337</v>
      </c>
      <c r="C1871" s="75">
        <f ca="1">IFERROR(__xludf.DUMMYFUNCTION("""COMPUTED_VALUE"""),28)</f>
        <v>28</v>
      </c>
      <c r="D1871" s="75">
        <f ca="1">IFERROR(__xludf.DUMMYFUNCTION("""COMPUTED_VALUE"""),2)</f>
        <v>2</v>
      </c>
      <c r="E1871" s="76">
        <f ca="1">IFERROR(__xludf.DUMMYFUNCTION("""COMPUTED_VALUE"""),30)</f>
        <v>30</v>
      </c>
      <c r="F1871" s="77">
        <f ca="1">IFERROR(__xludf.DUMMYFUNCTION("""COMPUTED_VALUE"""),20140136)</f>
        <v>20140136</v>
      </c>
      <c r="G1871" s="77" t="str">
        <f t="shared" ca="1" si="7"/>
        <v>si</v>
      </c>
    </row>
    <row r="1872" spans="1:7" ht="12.75" x14ac:dyDescent="0.2">
      <c r="A1872" s="62">
        <f ca="1">IFERROR(__xludf.DUMMYFUNCTION("""COMPUTED_VALUE"""),20140137)</f>
        <v>20140137</v>
      </c>
      <c r="B1872" s="62" t="str">
        <f ca="1">IFERROR(__xludf.DUMMYFUNCTION("""COMPUTED_VALUE"""),"Tornillos de base Macbook A1398")</f>
        <v>Tornillos de base Macbook A1398</v>
      </c>
      <c r="C1872" s="75">
        <f ca="1">IFERROR(__xludf.DUMMYFUNCTION("""COMPUTED_VALUE"""),45)</f>
        <v>45</v>
      </c>
      <c r="D1872" s="75">
        <f ca="1">IFERROR(__xludf.DUMMYFUNCTION("""COMPUTED_VALUE"""),5)</f>
        <v>5</v>
      </c>
      <c r="E1872" s="76">
        <f ca="1">IFERROR(__xludf.DUMMYFUNCTION("""COMPUTED_VALUE"""),50)</f>
        <v>50</v>
      </c>
      <c r="F1872" s="77">
        <f ca="1">IFERROR(__xludf.DUMMYFUNCTION("""COMPUTED_VALUE"""),20140137)</f>
        <v>20140137</v>
      </c>
      <c r="G1872" s="77" t="str">
        <f t="shared" ca="1" si="7"/>
        <v>si</v>
      </c>
    </row>
    <row r="1873" spans="1:7" ht="12.75" x14ac:dyDescent="0.2">
      <c r="A1873" s="62">
        <f ca="1">IFERROR(__xludf.DUMMYFUNCTION("""COMPUTED_VALUE"""),20140138)</f>
        <v>20140138</v>
      </c>
      <c r="B1873" s="62" t="str">
        <f ca="1">IFERROR(__xludf.DUMMYFUNCTION("""COMPUTED_VALUE"""),"Tornillos de base Macbook A1322")</f>
        <v>Tornillos de base Macbook A1322</v>
      </c>
      <c r="C1873" s="75">
        <f ca="1">IFERROR(__xludf.DUMMYFUNCTION("""COMPUTED_VALUE"""),45)</f>
        <v>45</v>
      </c>
      <c r="D1873" s="75">
        <f ca="1">IFERROR(__xludf.DUMMYFUNCTION("""COMPUTED_VALUE"""),5)</f>
        <v>5</v>
      </c>
      <c r="E1873" s="76">
        <f ca="1">IFERROR(__xludf.DUMMYFUNCTION("""COMPUTED_VALUE"""),50)</f>
        <v>50</v>
      </c>
      <c r="F1873" s="77">
        <f ca="1">IFERROR(__xludf.DUMMYFUNCTION("""COMPUTED_VALUE"""),20140138)</f>
        <v>20140138</v>
      </c>
      <c r="G1873" s="77" t="str">
        <f t="shared" ca="1" si="7"/>
        <v>si</v>
      </c>
    </row>
    <row r="1874" spans="1:7" ht="12.75" x14ac:dyDescent="0.2">
      <c r="A1874" s="62">
        <f ca="1">IFERROR(__xludf.DUMMYFUNCTION("""COMPUTED_VALUE"""),20140139)</f>
        <v>20140139</v>
      </c>
      <c r="B1874" s="62" t="str">
        <f ca="1">IFERROR(__xludf.DUMMYFUNCTION("""COMPUTED_VALUE"""),"Tornillos de base Macbook A1466")</f>
        <v>Tornillos de base Macbook A1466</v>
      </c>
      <c r="C1874" s="75">
        <f ca="1">IFERROR(__xludf.DUMMYFUNCTION("""COMPUTED_VALUE"""),45)</f>
        <v>45</v>
      </c>
      <c r="D1874" s="75">
        <f ca="1">IFERROR(__xludf.DUMMYFUNCTION("""COMPUTED_VALUE"""),5)</f>
        <v>5</v>
      </c>
      <c r="E1874" s="76">
        <f ca="1">IFERROR(__xludf.DUMMYFUNCTION("""COMPUTED_VALUE"""),50)</f>
        <v>50</v>
      </c>
      <c r="F1874" s="77">
        <f ca="1">IFERROR(__xludf.DUMMYFUNCTION("""COMPUTED_VALUE"""),20140139)</f>
        <v>20140139</v>
      </c>
      <c r="G1874" s="77" t="str">
        <f t="shared" ca="1" si="7"/>
        <v>si</v>
      </c>
    </row>
    <row r="1875" spans="1:7" ht="12.75" x14ac:dyDescent="0.2">
      <c r="A1875" s="62">
        <f ca="1">IFERROR(__xludf.DUMMYFUNCTION("""COMPUTED_VALUE"""),20140140)</f>
        <v>20140140</v>
      </c>
      <c r="B1875" s="62" t="str">
        <f ca="1">IFERROR(__xludf.DUMMYFUNCTION("""COMPUTED_VALUE"""),"Tornillos de base Macbook A1502")</f>
        <v>Tornillos de base Macbook A1502</v>
      </c>
      <c r="C1875" s="75">
        <f ca="1">IFERROR(__xludf.DUMMYFUNCTION("""COMPUTED_VALUE"""),45)</f>
        <v>45</v>
      </c>
      <c r="D1875" s="75">
        <f ca="1">IFERROR(__xludf.DUMMYFUNCTION("""COMPUTED_VALUE"""),5)</f>
        <v>5</v>
      </c>
      <c r="E1875" s="76">
        <f ca="1">IFERROR(__xludf.DUMMYFUNCTION("""COMPUTED_VALUE"""),50)</f>
        <v>50</v>
      </c>
      <c r="F1875" s="77">
        <f ca="1">IFERROR(__xludf.DUMMYFUNCTION("""COMPUTED_VALUE"""),20140140)</f>
        <v>20140140</v>
      </c>
      <c r="G1875" s="77" t="str">
        <f t="shared" ca="1" si="7"/>
        <v>si</v>
      </c>
    </row>
    <row r="1876" spans="1:7" ht="12.75" x14ac:dyDescent="0.2">
      <c r="A1876" s="62">
        <f ca="1">IFERROR(__xludf.DUMMYFUNCTION("""COMPUTED_VALUE"""),20140141)</f>
        <v>20140141</v>
      </c>
      <c r="B1876" s="62" t="str">
        <f ca="1">IFERROR(__xludf.DUMMYFUNCTION("""COMPUTED_VALUE"""),"Tornillos de base Macbook A1707")</f>
        <v>Tornillos de base Macbook A1707</v>
      </c>
      <c r="C1876" s="75">
        <f ca="1">IFERROR(__xludf.DUMMYFUNCTION("""COMPUTED_VALUE"""),45)</f>
        <v>45</v>
      </c>
      <c r="D1876" s="75">
        <f ca="1">IFERROR(__xludf.DUMMYFUNCTION("""COMPUTED_VALUE"""),5)</f>
        <v>5</v>
      </c>
      <c r="E1876" s="76">
        <f ca="1">IFERROR(__xludf.DUMMYFUNCTION("""COMPUTED_VALUE"""),50)</f>
        <v>50</v>
      </c>
      <c r="F1876" s="77">
        <f ca="1">IFERROR(__xludf.DUMMYFUNCTION("""COMPUTED_VALUE"""),20140141)</f>
        <v>20140141</v>
      </c>
      <c r="G1876" s="77" t="str">
        <f t="shared" ca="1" si="7"/>
        <v>si</v>
      </c>
    </row>
    <row r="1877" spans="1:7" ht="12.75" x14ac:dyDescent="0.2">
      <c r="A1877" s="62">
        <f ca="1">IFERROR(__xludf.DUMMYFUNCTION("""COMPUTED_VALUE"""),20140142)</f>
        <v>20140142</v>
      </c>
      <c r="B1877" s="62" t="str">
        <f ca="1">IFERROR(__xludf.DUMMYFUNCTION("""COMPUTED_VALUE"""),"Tornillos de base Macbook A1953")</f>
        <v>Tornillos de base Macbook A1953</v>
      </c>
      <c r="C1877" s="75">
        <f ca="1">IFERROR(__xludf.DUMMYFUNCTION("""COMPUTED_VALUE"""),45)</f>
        <v>45</v>
      </c>
      <c r="D1877" s="75">
        <f ca="1">IFERROR(__xludf.DUMMYFUNCTION("""COMPUTED_VALUE"""),5)</f>
        <v>5</v>
      </c>
      <c r="E1877" s="76">
        <f ca="1">IFERROR(__xludf.DUMMYFUNCTION("""COMPUTED_VALUE"""),50)</f>
        <v>50</v>
      </c>
      <c r="F1877" s="77">
        <f ca="1">IFERROR(__xludf.DUMMYFUNCTION("""COMPUTED_VALUE"""),20140142)</f>
        <v>20140142</v>
      </c>
      <c r="G1877" s="77" t="str">
        <f t="shared" ca="1" si="7"/>
        <v>si</v>
      </c>
    </row>
    <row r="1878" spans="1:7" ht="12.75" x14ac:dyDescent="0.2">
      <c r="A1878" s="62">
        <f ca="1">IFERROR(__xludf.DUMMYFUNCTION("""COMPUTED_VALUE"""),20140143)</f>
        <v>20140143</v>
      </c>
      <c r="B1878" s="62" t="str">
        <f ca="1">IFERROR(__xludf.DUMMYFUNCTION("""COMPUTED_VALUE"""),"Tornillos de base Macbook A1706")</f>
        <v>Tornillos de base Macbook A1706</v>
      </c>
      <c r="C1878" s="75">
        <f ca="1">IFERROR(__xludf.DUMMYFUNCTION("""COMPUTED_VALUE"""),45)</f>
        <v>45</v>
      </c>
      <c r="D1878" s="75">
        <f ca="1">IFERROR(__xludf.DUMMYFUNCTION("""COMPUTED_VALUE"""),5)</f>
        <v>5</v>
      </c>
      <c r="E1878" s="76">
        <f ca="1">IFERROR(__xludf.DUMMYFUNCTION("""COMPUTED_VALUE"""),50)</f>
        <v>50</v>
      </c>
      <c r="F1878" s="77">
        <f ca="1">IFERROR(__xludf.DUMMYFUNCTION("""COMPUTED_VALUE"""),20140143)</f>
        <v>20140143</v>
      </c>
      <c r="G1878" s="77" t="str">
        <f t="shared" ca="1" si="7"/>
        <v>si</v>
      </c>
    </row>
    <row r="1879" spans="1:7" ht="12.75" x14ac:dyDescent="0.2">
      <c r="A1879" s="62">
        <f ca="1">IFERROR(__xludf.DUMMYFUNCTION("""COMPUTED_VALUE"""),20140144)</f>
        <v>20140144</v>
      </c>
      <c r="B1879" s="62" t="str">
        <f ca="1">IFERROR(__xludf.DUMMYFUNCTION("""COMPUTED_VALUE"""),"Tornillos de base Macbook A1964")</f>
        <v>Tornillos de base Macbook A1964</v>
      </c>
      <c r="C1879" s="75">
        <f ca="1">IFERROR(__xludf.DUMMYFUNCTION("""COMPUTED_VALUE"""),45)</f>
        <v>45</v>
      </c>
      <c r="D1879" s="75">
        <f ca="1">IFERROR(__xludf.DUMMYFUNCTION("""COMPUTED_VALUE"""),5)</f>
        <v>5</v>
      </c>
      <c r="E1879" s="76">
        <f ca="1">IFERROR(__xludf.DUMMYFUNCTION("""COMPUTED_VALUE"""),50)</f>
        <v>50</v>
      </c>
      <c r="F1879" s="77">
        <f ca="1">IFERROR(__xludf.DUMMYFUNCTION("""COMPUTED_VALUE"""),20140144)</f>
        <v>20140144</v>
      </c>
      <c r="G1879" s="77" t="str">
        <f t="shared" ca="1" si="7"/>
        <v>si</v>
      </c>
    </row>
    <row r="1880" spans="1:7" ht="12.75" x14ac:dyDescent="0.2">
      <c r="A1880" s="62">
        <f ca="1">IFERROR(__xludf.DUMMYFUNCTION("""COMPUTED_VALUE"""),20140145)</f>
        <v>20140145</v>
      </c>
      <c r="B1880" s="62" t="str">
        <f ca="1">IFERROR(__xludf.DUMMYFUNCTION("""COMPUTED_VALUE"""),"Tornillos de base Macbook A2179")</f>
        <v>Tornillos de base Macbook A2179</v>
      </c>
      <c r="C1880" s="75">
        <f ca="1">IFERROR(__xludf.DUMMYFUNCTION("""COMPUTED_VALUE"""),45)</f>
        <v>45</v>
      </c>
      <c r="D1880" s="75">
        <f ca="1">IFERROR(__xludf.DUMMYFUNCTION("""COMPUTED_VALUE"""),5)</f>
        <v>5</v>
      </c>
      <c r="E1880" s="76">
        <f ca="1">IFERROR(__xludf.DUMMYFUNCTION("""COMPUTED_VALUE"""),50)</f>
        <v>50</v>
      </c>
      <c r="F1880" s="77">
        <f ca="1">IFERROR(__xludf.DUMMYFUNCTION("""COMPUTED_VALUE"""),20140145)</f>
        <v>20140145</v>
      </c>
      <c r="G1880" s="77" t="str">
        <f t="shared" ca="1" si="7"/>
        <v>si</v>
      </c>
    </row>
    <row r="1881" spans="1:7" ht="12.75" x14ac:dyDescent="0.2">
      <c r="A1881" s="62">
        <f ca="1">IFERROR(__xludf.DUMMYFUNCTION("""COMPUTED_VALUE"""),20140146)</f>
        <v>20140146</v>
      </c>
      <c r="B1881" s="62" t="str">
        <f ca="1">IFERROR(__xludf.DUMMYFUNCTION("""COMPUTED_VALUE"""),"Tornillos de base Macbook A1932")</f>
        <v>Tornillos de base Macbook A1932</v>
      </c>
      <c r="C1881" s="75">
        <f ca="1">IFERROR(__xludf.DUMMYFUNCTION("""COMPUTED_VALUE"""),45)</f>
        <v>45</v>
      </c>
      <c r="D1881" s="75">
        <f ca="1">IFERROR(__xludf.DUMMYFUNCTION("""COMPUTED_VALUE"""),5)</f>
        <v>5</v>
      </c>
      <c r="E1881" s="76">
        <f ca="1">IFERROR(__xludf.DUMMYFUNCTION("""COMPUTED_VALUE"""),50)</f>
        <v>50</v>
      </c>
      <c r="F1881" s="77">
        <f ca="1">IFERROR(__xludf.DUMMYFUNCTION("""COMPUTED_VALUE"""),20140146)</f>
        <v>20140146</v>
      </c>
      <c r="G1881" s="77" t="str">
        <f t="shared" ca="1" si="7"/>
        <v>si</v>
      </c>
    </row>
    <row r="1882" spans="1:7" ht="12.75" x14ac:dyDescent="0.2">
      <c r="A1882" s="62">
        <f ca="1">IFERROR(__xludf.DUMMYFUNCTION("""COMPUTED_VALUE"""),20140147)</f>
        <v>20140147</v>
      </c>
      <c r="B1882" s="62" t="str">
        <f ca="1">IFERROR(__xludf.DUMMYFUNCTION("""COMPUTED_VALUE"""),"Tornillos de base Macbook A2337")</f>
        <v>Tornillos de base Macbook A2337</v>
      </c>
      <c r="C1882" s="75">
        <f ca="1">IFERROR(__xludf.DUMMYFUNCTION("""COMPUTED_VALUE"""),45)</f>
        <v>45</v>
      </c>
      <c r="D1882" s="75">
        <f ca="1">IFERROR(__xludf.DUMMYFUNCTION("""COMPUTED_VALUE"""),5)</f>
        <v>5</v>
      </c>
      <c r="E1882" s="76">
        <f ca="1">IFERROR(__xludf.DUMMYFUNCTION("""COMPUTED_VALUE"""),50)</f>
        <v>50</v>
      </c>
      <c r="F1882" s="77">
        <f ca="1">IFERROR(__xludf.DUMMYFUNCTION("""COMPUTED_VALUE"""),20140147)</f>
        <v>20140147</v>
      </c>
      <c r="G1882" s="77" t="str">
        <f t="shared" ca="1" si="7"/>
        <v>si</v>
      </c>
    </row>
    <row r="1883" spans="1:7" ht="12.75" x14ac:dyDescent="0.2">
      <c r="A1883" s="62">
        <f ca="1">IFERROR(__xludf.DUMMYFUNCTION("""COMPUTED_VALUE"""),20140159)</f>
        <v>20140159</v>
      </c>
      <c r="B1883" s="62" t="str">
        <f ca="1">IFERROR(__xludf.DUMMYFUNCTION("""COMPUTED_VALUE"""),"Microfono Macbook A1398")</f>
        <v>Microfono Macbook A1398</v>
      </c>
      <c r="C1883" s="75">
        <f ca="1">IFERROR(__xludf.DUMMYFUNCTION("""COMPUTED_VALUE"""),150)</f>
        <v>150</v>
      </c>
      <c r="D1883" s="75">
        <f ca="1">IFERROR(__xludf.DUMMYFUNCTION("""COMPUTED_VALUE"""),50)</f>
        <v>50</v>
      </c>
      <c r="E1883" s="76">
        <f ca="1">IFERROR(__xludf.DUMMYFUNCTION("""COMPUTED_VALUE"""),200)</f>
        <v>200</v>
      </c>
      <c r="F1883" s="77">
        <f ca="1">IFERROR(__xludf.DUMMYFUNCTION("""COMPUTED_VALUE"""),20140159)</f>
        <v>20140159</v>
      </c>
      <c r="G1883" s="77" t="str">
        <f t="shared" ca="1" si="7"/>
        <v>si</v>
      </c>
    </row>
    <row r="1884" spans="1:7" ht="12.75" x14ac:dyDescent="0.2">
      <c r="A1884" s="62">
        <f ca="1">IFERROR(__xludf.DUMMYFUNCTION("""COMPUTED_VALUE"""),20140160)</f>
        <v>20140160</v>
      </c>
      <c r="B1884" s="62" t="str">
        <f ca="1">IFERROR(__xludf.DUMMYFUNCTION("""COMPUTED_VALUE"""),"Microfono Macbook A1322")</f>
        <v>Microfono Macbook A1322</v>
      </c>
      <c r="C1884" s="75">
        <f ca="1">IFERROR(__xludf.DUMMYFUNCTION("""COMPUTED_VALUE"""),150)</f>
        <v>150</v>
      </c>
      <c r="D1884" s="75">
        <f ca="1">IFERROR(__xludf.DUMMYFUNCTION("""COMPUTED_VALUE"""),50)</f>
        <v>50</v>
      </c>
      <c r="E1884" s="76">
        <f ca="1">IFERROR(__xludf.DUMMYFUNCTION("""COMPUTED_VALUE"""),200)</f>
        <v>200</v>
      </c>
      <c r="F1884" s="77">
        <f ca="1">IFERROR(__xludf.DUMMYFUNCTION("""COMPUTED_VALUE"""),20140160)</f>
        <v>20140160</v>
      </c>
      <c r="G1884" s="77" t="str">
        <f t="shared" ca="1" si="7"/>
        <v>si</v>
      </c>
    </row>
    <row r="1885" spans="1:7" ht="12.75" x14ac:dyDescent="0.2">
      <c r="A1885" s="62">
        <f ca="1">IFERROR(__xludf.DUMMYFUNCTION("""COMPUTED_VALUE"""),20140161)</f>
        <v>20140161</v>
      </c>
      <c r="B1885" s="62" t="str">
        <f ca="1">IFERROR(__xludf.DUMMYFUNCTION("""COMPUTED_VALUE"""),"Microfono Macbook A1466")</f>
        <v>Microfono Macbook A1466</v>
      </c>
      <c r="C1885" s="75">
        <f ca="1">IFERROR(__xludf.DUMMYFUNCTION("""COMPUTED_VALUE"""),150)</f>
        <v>150</v>
      </c>
      <c r="D1885" s="75">
        <f ca="1">IFERROR(__xludf.DUMMYFUNCTION("""COMPUTED_VALUE"""),50)</f>
        <v>50</v>
      </c>
      <c r="E1885" s="76">
        <f ca="1">IFERROR(__xludf.DUMMYFUNCTION("""COMPUTED_VALUE"""),200)</f>
        <v>200</v>
      </c>
      <c r="F1885" s="77">
        <f ca="1">IFERROR(__xludf.DUMMYFUNCTION("""COMPUTED_VALUE"""),20140161)</f>
        <v>20140161</v>
      </c>
      <c r="G1885" s="77" t="str">
        <f t="shared" ca="1" si="7"/>
        <v>si</v>
      </c>
    </row>
    <row r="1886" spans="1:7" ht="12.75" x14ac:dyDescent="0.2">
      <c r="A1886" s="62">
        <f ca="1">IFERROR(__xludf.DUMMYFUNCTION("""COMPUTED_VALUE"""),20140162)</f>
        <v>20140162</v>
      </c>
      <c r="B1886" s="62" t="str">
        <f ca="1">IFERROR(__xludf.DUMMYFUNCTION("""COMPUTED_VALUE"""),"Microfono Macbook A1502")</f>
        <v>Microfono Macbook A1502</v>
      </c>
      <c r="C1886" s="75">
        <f ca="1">IFERROR(__xludf.DUMMYFUNCTION("""COMPUTED_VALUE"""),150)</f>
        <v>150</v>
      </c>
      <c r="D1886" s="75">
        <f ca="1">IFERROR(__xludf.DUMMYFUNCTION("""COMPUTED_VALUE"""),50)</f>
        <v>50</v>
      </c>
      <c r="E1886" s="76">
        <f ca="1">IFERROR(__xludf.DUMMYFUNCTION("""COMPUTED_VALUE"""),200)</f>
        <v>200</v>
      </c>
      <c r="F1886" s="77">
        <f ca="1">IFERROR(__xludf.DUMMYFUNCTION("""COMPUTED_VALUE"""),20140162)</f>
        <v>20140162</v>
      </c>
      <c r="G1886" s="77" t="str">
        <f t="shared" ca="1" si="7"/>
        <v>si</v>
      </c>
    </row>
    <row r="1887" spans="1:7" ht="12.75" x14ac:dyDescent="0.2">
      <c r="A1887" s="62">
        <f ca="1">IFERROR(__xludf.DUMMYFUNCTION("""COMPUTED_VALUE"""),20140163)</f>
        <v>20140163</v>
      </c>
      <c r="B1887" s="62" t="str">
        <f ca="1">IFERROR(__xludf.DUMMYFUNCTION("""COMPUTED_VALUE"""),"Microfono Macbook A1707")</f>
        <v>Microfono Macbook A1707</v>
      </c>
      <c r="C1887" s="75">
        <f ca="1">IFERROR(__xludf.DUMMYFUNCTION("""COMPUTED_VALUE"""),150)</f>
        <v>150</v>
      </c>
      <c r="D1887" s="75">
        <f ca="1">IFERROR(__xludf.DUMMYFUNCTION("""COMPUTED_VALUE"""),50)</f>
        <v>50</v>
      </c>
      <c r="E1887" s="76">
        <f ca="1">IFERROR(__xludf.DUMMYFUNCTION("""COMPUTED_VALUE"""),200)</f>
        <v>200</v>
      </c>
      <c r="F1887" s="77">
        <f ca="1">IFERROR(__xludf.DUMMYFUNCTION("""COMPUTED_VALUE"""),20140163)</f>
        <v>20140163</v>
      </c>
      <c r="G1887" s="77" t="str">
        <f t="shared" ca="1" si="7"/>
        <v>si</v>
      </c>
    </row>
    <row r="1888" spans="1:7" ht="12.75" x14ac:dyDescent="0.2">
      <c r="A1888" s="62">
        <f ca="1">IFERROR(__xludf.DUMMYFUNCTION("""COMPUTED_VALUE"""),20140164)</f>
        <v>20140164</v>
      </c>
      <c r="B1888" s="62" t="str">
        <f ca="1">IFERROR(__xludf.DUMMYFUNCTION("""COMPUTED_VALUE"""),"Microfono Macbook A1953")</f>
        <v>Microfono Macbook A1953</v>
      </c>
      <c r="C1888" s="75">
        <f ca="1">IFERROR(__xludf.DUMMYFUNCTION("""COMPUTED_VALUE"""),150)</f>
        <v>150</v>
      </c>
      <c r="D1888" s="75">
        <f ca="1">IFERROR(__xludf.DUMMYFUNCTION("""COMPUTED_VALUE"""),50)</f>
        <v>50</v>
      </c>
      <c r="E1888" s="76">
        <f ca="1">IFERROR(__xludf.DUMMYFUNCTION("""COMPUTED_VALUE"""),200)</f>
        <v>200</v>
      </c>
      <c r="F1888" s="77">
        <f ca="1">IFERROR(__xludf.DUMMYFUNCTION("""COMPUTED_VALUE"""),20140164)</f>
        <v>20140164</v>
      </c>
      <c r="G1888" s="77" t="str">
        <f t="shared" ca="1" si="7"/>
        <v>si</v>
      </c>
    </row>
    <row r="1889" spans="1:7" ht="12.75" x14ac:dyDescent="0.2">
      <c r="A1889" s="62">
        <f ca="1">IFERROR(__xludf.DUMMYFUNCTION("""COMPUTED_VALUE"""),20140149)</f>
        <v>20140149</v>
      </c>
      <c r="B1889" s="62" t="str">
        <f ca="1">IFERROR(__xludf.DUMMYFUNCTION("""COMPUTED_VALUE"""),"Entrada de Cargador Macbook A1398")</f>
        <v>Entrada de Cargador Macbook A1398</v>
      </c>
      <c r="C1889" s="75">
        <f ca="1">IFERROR(__xludf.DUMMYFUNCTION("""COMPUTED_VALUE"""),160)</f>
        <v>160</v>
      </c>
      <c r="D1889" s="75">
        <f ca="1">IFERROR(__xludf.DUMMYFUNCTION("""COMPUTED_VALUE"""),100)</f>
        <v>100</v>
      </c>
      <c r="E1889" s="76">
        <f ca="1">IFERROR(__xludf.DUMMYFUNCTION("""COMPUTED_VALUE"""),260)</f>
        <v>260</v>
      </c>
      <c r="F1889" s="77">
        <f ca="1">IFERROR(__xludf.DUMMYFUNCTION("""COMPUTED_VALUE"""),20140149)</f>
        <v>20140149</v>
      </c>
      <c r="G1889" s="77" t="str">
        <f t="shared" ca="1" si="7"/>
        <v>si</v>
      </c>
    </row>
    <row r="1890" spans="1:7" ht="12.75" x14ac:dyDescent="0.2">
      <c r="A1890" s="62">
        <f ca="1">IFERROR(__xludf.DUMMYFUNCTION("""COMPUTED_VALUE"""),20140150)</f>
        <v>20140150</v>
      </c>
      <c r="B1890" s="62" t="str">
        <f ca="1">IFERROR(__xludf.DUMMYFUNCTION("""COMPUTED_VALUE"""),"Entrada de Cargador Macbook A1322")</f>
        <v>Entrada de Cargador Macbook A1322</v>
      </c>
      <c r="C1890" s="75">
        <f ca="1">IFERROR(__xludf.DUMMYFUNCTION("""COMPUTED_VALUE"""),160)</f>
        <v>160</v>
      </c>
      <c r="D1890" s="75">
        <f ca="1">IFERROR(__xludf.DUMMYFUNCTION("""COMPUTED_VALUE"""),100)</f>
        <v>100</v>
      </c>
      <c r="E1890" s="76">
        <f ca="1">IFERROR(__xludf.DUMMYFUNCTION("""COMPUTED_VALUE"""),260)</f>
        <v>260</v>
      </c>
      <c r="F1890" s="77">
        <f ca="1">IFERROR(__xludf.DUMMYFUNCTION("""COMPUTED_VALUE"""),20140150)</f>
        <v>20140150</v>
      </c>
      <c r="G1890" s="77" t="str">
        <f t="shared" ca="1" si="7"/>
        <v>si</v>
      </c>
    </row>
    <row r="1891" spans="1:7" ht="12.75" x14ac:dyDescent="0.2">
      <c r="A1891" s="62">
        <f ca="1">IFERROR(__xludf.DUMMYFUNCTION("""COMPUTED_VALUE"""),20140151)</f>
        <v>20140151</v>
      </c>
      <c r="B1891" s="62" t="str">
        <f ca="1">IFERROR(__xludf.DUMMYFUNCTION("""COMPUTED_VALUE"""),"Entrada de Cargador Macbook A1502")</f>
        <v>Entrada de Cargador Macbook A1502</v>
      </c>
      <c r="C1891" s="75">
        <f ca="1">IFERROR(__xludf.DUMMYFUNCTION("""COMPUTED_VALUE"""),160)</f>
        <v>160</v>
      </c>
      <c r="D1891" s="75">
        <f ca="1">IFERROR(__xludf.DUMMYFUNCTION("""COMPUTED_VALUE"""),100)</f>
        <v>100</v>
      </c>
      <c r="E1891" s="76">
        <f ca="1">IFERROR(__xludf.DUMMYFUNCTION("""COMPUTED_VALUE"""),260)</f>
        <v>260</v>
      </c>
      <c r="F1891" s="77">
        <f ca="1">IFERROR(__xludf.DUMMYFUNCTION("""COMPUTED_VALUE"""),20140151)</f>
        <v>20140151</v>
      </c>
      <c r="G1891" s="77" t="str">
        <f t="shared" ca="1" si="7"/>
        <v>si</v>
      </c>
    </row>
    <row r="1892" spans="1:7" ht="12.75" x14ac:dyDescent="0.2">
      <c r="A1892" s="62">
        <f ca="1">IFERROR(__xludf.DUMMYFUNCTION("""COMPUTED_VALUE"""),20140152)</f>
        <v>20140152</v>
      </c>
      <c r="B1892" s="62" t="str">
        <f ca="1">IFERROR(__xludf.DUMMYFUNCTION("""COMPUTED_VALUE"""),"Entrada de Cargador Macbook A1707")</f>
        <v>Entrada de Cargador Macbook A1707</v>
      </c>
      <c r="C1892" s="75">
        <f ca="1">IFERROR(__xludf.DUMMYFUNCTION("""COMPUTED_VALUE"""),170)</f>
        <v>170</v>
      </c>
      <c r="D1892" s="75">
        <f ca="1">IFERROR(__xludf.DUMMYFUNCTION("""COMPUTED_VALUE"""),100)</f>
        <v>100</v>
      </c>
      <c r="E1892" s="76">
        <f ca="1">IFERROR(__xludf.DUMMYFUNCTION("""COMPUTED_VALUE"""),270)</f>
        <v>270</v>
      </c>
      <c r="F1892" s="77">
        <f ca="1">IFERROR(__xludf.DUMMYFUNCTION("""COMPUTED_VALUE"""),20140152)</f>
        <v>20140152</v>
      </c>
      <c r="G1892" s="77" t="str">
        <f t="shared" ca="1" si="7"/>
        <v>si</v>
      </c>
    </row>
    <row r="1893" spans="1:7" ht="12.75" x14ac:dyDescent="0.2">
      <c r="A1893" s="62">
        <f ca="1">IFERROR(__xludf.DUMMYFUNCTION("""COMPUTED_VALUE"""),20140153)</f>
        <v>20140153</v>
      </c>
      <c r="B1893" s="62" t="str">
        <f ca="1">IFERROR(__xludf.DUMMYFUNCTION("""COMPUTED_VALUE"""),"Entrada de Cargador Macbook A1953")</f>
        <v>Entrada de Cargador Macbook A1953</v>
      </c>
      <c r="C1893" s="75">
        <f ca="1">IFERROR(__xludf.DUMMYFUNCTION("""COMPUTED_VALUE"""),170)</f>
        <v>170</v>
      </c>
      <c r="D1893" s="75">
        <f ca="1">IFERROR(__xludf.DUMMYFUNCTION("""COMPUTED_VALUE"""),100)</f>
        <v>100</v>
      </c>
      <c r="E1893" s="76">
        <f ca="1">IFERROR(__xludf.DUMMYFUNCTION("""COMPUTED_VALUE"""),270)</f>
        <v>270</v>
      </c>
      <c r="F1893" s="77">
        <f ca="1">IFERROR(__xludf.DUMMYFUNCTION("""COMPUTED_VALUE"""),20140153)</f>
        <v>20140153</v>
      </c>
      <c r="G1893" s="77" t="str">
        <f t="shared" ca="1" si="7"/>
        <v>si</v>
      </c>
    </row>
    <row r="1894" spans="1:7" ht="12.75" x14ac:dyDescent="0.2">
      <c r="A1894" s="62">
        <f ca="1">IFERROR(__xludf.DUMMYFUNCTION("""COMPUTED_VALUE"""),20140154)</f>
        <v>20140154</v>
      </c>
      <c r="B1894" s="62" t="str">
        <f ca="1">IFERROR(__xludf.DUMMYFUNCTION("""COMPUTED_VALUE"""),"Entrada de Cargador Macbook A1706")</f>
        <v>Entrada de Cargador Macbook A1706</v>
      </c>
      <c r="C1894" s="75">
        <f ca="1">IFERROR(__xludf.DUMMYFUNCTION("""COMPUTED_VALUE"""),170)</f>
        <v>170</v>
      </c>
      <c r="D1894" s="75">
        <f ca="1">IFERROR(__xludf.DUMMYFUNCTION("""COMPUTED_VALUE"""),100)</f>
        <v>100</v>
      </c>
      <c r="E1894" s="76">
        <f ca="1">IFERROR(__xludf.DUMMYFUNCTION("""COMPUTED_VALUE"""),270)</f>
        <v>270</v>
      </c>
      <c r="F1894" s="77">
        <f ca="1">IFERROR(__xludf.DUMMYFUNCTION("""COMPUTED_VALUE"""),20140154)</f>
        <v>20140154</v>
      </c>
      <c r="G1894" s="77" t="str">
        <f t="shared" ca="1" si="7"/>
        <v>si</v>
      </c>
    </row>
    <row r="1895" spans="1:7" ht="12.75" x14ac:dyDescent="0.2">
      <c r="A1895" s="62">
        <f ca="1">IFERROR(__xludf.DUMMYFUNCTION("""COMPUTED_VALUE"""),20140155)</f>
        <v>20140155</v>
      </c>
      <c r="B1895" s="62" t="str">
        <f ca="1">IFERROR(__xludf.DUMMYFUNCTION("""COMPUTED_VALUE"""),"Entrada de Cargador Macbook A1964")</f>
        <v>Entrada de Cargador Macbook A1964</v>
      </c>
      <c r="C1895" s="75">
        <f ca="1">IFERROR(__xludf.DUMMYFUNCTION("""COMPUTED_VALUE"""),170)</f>
        <v>170</v>
      </c>
      <c r="D1895" s="75">
        <f ca="1">IFERROR(__xludf.DUMMYFUNCTION("""COMPUTED_VALUE"""),100)</f>
        <v>100</v>
      </c>
      <c r="E1895" s="76">
        <f ca="1">IFERROR(__xludf.DUMMYFUNCTION("""COMPUTED_VALUE"""),270)</f>
        <v>270</v>
      </c>
      <c r="F1895" s="77">
        <f ca="1">IFERROR(__xludf.DUMMYFUNCTION("""COMPUTED_VALUE"""),20140155)</f>
        <v>20140155</v>
      </c>
      <c r="G1895" s="77" t="str">
        <f t="shared" ca="1" si="7"/>
        <v>si</v>
      </c>
    </row>
    <row r="1896" spans="1:7" ht="12.75" x14ac:dyDescent="0.2">
      <c r="A1896" s="62">
        <f ca="1">IFERROR(__xludf.DUMMYFUNCTION("""COMPUTED_VALUE"""),20140156)</f>
        <v>20140156</v>
      </c>
      <c r="B1896" s="62" t="str">
        <f ca="1">IFERROR(__xludf.DUMMYFUNCTION("""COMPUTED_VALUE"""),"Entrada de Cargador Macbook A2179")</f>
        <v>Entrada de Cargador Macbook A2179</v>
      </c>
      <c r="C1896" s="75">
        <f ca="1">IFERROR(__xludf.DUMMYFUNCTION("""COMPUTED_VALUE"""),170)</f>
        <v>170</v>
      </c>
      <c r="D1896" s="75">
        <f ca="1">IFERROR(__xludf.DUMMYFUNCTION("""COMPUTED_VALUE"""),100)</f>
        <v>100</v>
      </c>
      <c r="E1896" s="76">
        <f ca="1">IFERROR(__xludf.DUMMYFUNCTION("""COMPUTED_VALUE"""),270)</f>
        <v>270</v>
      </c>
      <c r="F1896" s="77">
        <f ca="1">IFERROR(__xludf.DUMMYFUNCTION("""COMPUTED_VALUE"""),20140156)</f>
        <v>20140156</v>
      </c>
      <c r="G1896" s="77" t="str">
        <f t="shared" ca="1" si="7"/>
        <v>si</v>
      </c>
    </row>
    <row r="1897" spans="1:7" ht="12.75" x14ac:dyDescent="0.2">
      <c r="A1897" s="62">
        <f ca="1">IFERROR(__xludf.DUMMYFUNCTION("""COMPUTED_VALUE"""),20140158)</f>
        <v>20140158</v>
      </c>
      <c r="B1897" s="62" t="str">
        <f ca="1">IFERROR(__xludf.DUMMYFUNCTION("""COMPUTED_VALUE"""),"Entrada de Cargador Macbook A2337")</f>
        <v>Entrada de Cargador Macbook A2337</v>
      </c>
      <c r="C1897" s="75">
        <f ca="1">IFERROR(__xludf.DUMMYFUNCTION("""COMPUTED_VALUE"""),170)</f>
        <v>170</v>
      </c>
      <c r="D1897" s="75">
        <f ca="1">IFERROR(__xludf.DUMMYFUNCTION("""COMPUTED_VALUE"""),100)</f>
        <v>100</v>
      </c>
      <c r="E1897" s="76">
        <f ca="1">IFERROR(__xludf.DUMMYFUNCTION("""COMPUTED_VALUE"""),270)</f>
        <v>270</v>
      </c>
      <c r="F1897" s="77">
        <f ca="1">IFERROR(__xludf.DUMMYFUNCTION("""COMPUTED_VALUE"""),20140158)</f>
        <v>20140158</v>
      </c>
      <c r="G1897" s="77" t="str">
        <f t="shared" ca="1" si="7"/>
        <v>si</v>
      </c>
    </row>
    <row r="1898" spans="1:7" ht="12.75" x14ac:dyDescent="0.2">
      <c r="A1898" s="62">
        <f ca="1">IFERROR(__xludf.DUMMYFUNCTION("""COMPUTED_VALUE"""),20140157)</f>
        <v>20140157</v>
      </c>
      <c r="B1898" s="62" t="str">
        <f ca="1">IFERROR(__xludf.DUMMYFUNCTION("""COMPUTED_VALUE"""),"Entrada de Cargador Macbook A1932")</f>
        <v>Entrada de Cargador Macbook A1932</v>
      </c>
      <c r="C1898" s="75">
        <f ca="1">IFERROR(__xludf.DUMMYFUNCTION("""COMPUTED_VALUE"""),170)</f>
        <v>170</v>
      </c>
      <c r="D1898" s="75">
        <f ca="1">IFERROR(__xludf.DUMMYFUNCTION("""COMPUTED_VALUE"""),100)</f>
        <v>100</v>
      </c>
      <c r="E1898" s="76">
        <f ca="1">IFERROR(__xludf.DUMMYFUNCTION("""COMPUTED_VALUE"""),270)</f>
        <v>270</v>
      </c>
      <c r="F1898" s="77">
        <f ca="1">IFERROR(__xludf.DUMMYFUNCTION("""COMPUTED_VALUE"""),20140157)</f>
        <v>20140157</v>
      </c>
      <c r="G1898" s="77" t="str">
        <f t="shared" ca="1" si="7"/>
        <v>si</v>
      </c>
    </row>
    <row r="1899" spans="1:7" ht="12.75" x14ac:dyDescent="0.2">
      <c r="A1899" s="62">
        <f ca="1">IFERROR(__xludf.DUMMYFUNCTION("""COMPUTED_VALUE"""),20140383)</f>
        <v>20140383</v>
      </c>
      <c r="B1899" s="62" t="str">
        <f ca="1">IFERROR(__xludf.DUMMYFUNCTION("""COMPUTED_VALUE"""),"IC 3217B12 Macbook")</f>
        <v>IC 3217B12 Macbook</v>
      </c>
      <c r="C1899" s="75">
        <f ca="1">IFERROR(__xludf.DUMMYFUNCTION("""COMPUTED_VALUE"""),350)</f>
        <v>350</v>
      </c>
      <c r="D1899" s="75">
        <f ca="1">IFERROR(__xludf.DUMMYFUNCTION("""COMPUTED_VALUE"""),350)</f>
        <v>350</v>
      </c>
      <c r="E1899" s="76">
        <f ca="1">IFERROR(__xludf.DUMMYFUNCTION("""COMPUTED_VALUE"""),700)</f>
        <v>700</v>
      </c>
      <c r="F1899" s="77">
        <f ca="1">IFERROR(__xludf.DUMMYFUNCTION("""COMPUTED_VALUE"""),20140383)</f>
        <v>20140383</v>
      </c>
      <c r="G1899" s="77" t="str">
        <f t="shared" ca="1" si="7"/>
        <v>si</v>
      </c>
    </row>
    <row r="1900" spans="1:7" ht="12.75" x14ac:dyDescent="0.2">
      <c r="A1900" s="62">
        <f ca="1">IFERROR(__xludf.DUMMYFUNCTION("""COMPUTED_VALUE"""),20140335)</f>
        <v>20140335</v>
      </c>
      <c r="B1900" s="62" t="str">
        <f ca="1">IFERROR(__xludf.DUMMYFUNCTION("""COMPUTED_VALUE"""),"ISL9553 (CHARGING IC)")</f>
        <v>ISL9553 (CHARGING IC)</v>
      </c>
      <c r="C1900" s="75">
        <f ca="1">IFERROR(__xludf.DUMMYFUNCTION("""COMPUTED_VALUE"""),350)</f>
        <v>350</v>
      </c>
      <c r="D1900" s="75">
        <f ca="1">IFERROR(__xludf.DUMMYFUNCTION("""COMPUTED_VALUE"""),350)</f>
        <v>350</v>
      </c>
      <c r="E1900" s="76">
        <f ca="1">IFERROR(__xludf.DUMMYFUNCTION("""COMPUTED_VALUE"""),700)</f>
        <v>700</v>
      </c>
      <c r="F1900" s="77">
        <f ca="1">IFERROR(__xludf.DUMMYFUNCTION("""COMPUTED_VALUE"""),20140335)</f>
        <v>20140335</v>
      </c>
      <c r="G1900" s="77" t="str">
        <f t="shared" ca="1" si="7"/>
        <v>si</v>
      </c>
    </row>
    <row r="1901" spans="1:7" ht="12.75" x14ac:dyDescent="0.2">
      <c r="A1901" s="62">
        <f ca="1">IFERROR(__xludf.DUMMYFUNCTION("""COMPUTED_VALUE"""),20140336)</f>
        <v>20140336</v>
      </c>
      <c r="B1901" s="62" t="str">
        <f ca="1">IFERROR(__xludf.DUMMYFUNCTION("""COMPUTED_VALUE"""),"ISL6259 (CHARGING IC)")</f>
        <v>ISL6259 (CHARGING IC)</v>
      </c>
      <c r="C1901" s="75">
        <f ca="1">IFERROR(__xludf.DUMMYFUNCTION("""COMPUTED_VALUE"""),350)</f>
        <v>350</v>
      </c>
      <c r="D1901" s="75">
        <f ca="1">IFERROR(__xludf.DUMMYFUNCTION("""COMPUTED_VALUE"""),350)</f>
        <v>350</v>
      </c>
      <c r="E1901" s="76">
        <f ca="1">IFERROR(__xludf.DUMMYFUNCTION("""COMPUTED_VALUE"""),700)</f>
        <v>700</v>
      </c>
      <c r="F1901" s="77">
        <f ca="1">IFERROR(__xludf.DUMMYFUNCTION("""COMPUTED_VALUE"""),20140336)</f>
        <v>20140336</v>
      </c>
      <c r="G1901" s="77" t="str">
        <f t="shared" ca="1" si="7"/>
        <v>si</v>
      </c>
    </row>
    <row r="1902" spans="1:7" ht="12.75" x14ac:dyDescent="0.2">
      <c r="A1902" s="62">
        <f ca="1">IFERROR(__xludf.DUMMYFUNCTION("""COMPUTED_VALUE"""),20140337)</f>
        <v>20140337</v>
      </c>
      <c r="B1902" s="62" t="str">
        <f ca="1">IFERROR(__xludf.DUMMYFUNCTION("""COMPUTED_VALUE"""),"SLG3NB148A (CLOCK IC)")</f>
        <v>SLG3NB148A (CLOCK IC)</v>
      </c>
      <c r="C1902" s="75">
        <f ca="1">IFERROR(__xludf.DUMMYFUNCTION("""COMPUTED_VALUE"""),350)</f>
        <v>350</v>
      </c>
      <c r="D1902" s="75">
        <f ca="1">IFERROR(__xludf.DUMMYFUNCTION("""COMPUTED_VALUE"""),350)</f>
        <v>350</v>
      </c>
      <c r="E1902" s="76">
        <f ca="1">IFERROR(__xludf.DUMMYFUNCTION("""COMPUTED_VALUE"""),700)</f>
        <v>700</v>
      </c>
      <c r="F1902" s="77">
        <f ca="1">IFERROR(__xludf.DUMMYFUNCTION("""COMPUTED_VALUE"""),20140337)</f>
        <v>20140337</v>
      </c>
      <c r="G1902" s="77" t="str">
        <f t="shared" ca="1" si="7"/>
        <v>si</v>
      </c>
    </row>
    <row r="1903" spans="1:7" ht="12.75" x14ac:dyDescent="0.2">
      <c r="A1903" s="62">
        <f ca="1">IFERROR(__xludf.DUMMYFUNCTION("""COMPUTED_VALUE"""),20140338)</f>
        <v>20140338</v>
      </c>
      <c r="B1903" s="62" t="str">
        <f ca="1">IFERROR(__xludf.DUMMYFUNCTION("""COMPUTED_VALUE"""),"JHL7540 (CD3215 DRIVER)")</f>
        <v>JHL7540 (CD3215 DRIVER)</v>
      </c>
      <c r="C1903" s="75">
        <f ca="1">IFERROR(__xludf.DUMMYFUNCTION("""COMPUTED_VALUE"""),600)</f>
        <v>600</v>
      </c>
      <c r="D1903" s="75">
        <f ca="1">IFERROR(__xludf.DUMMYFUNCTION("""COMPUTED_VALUE"""),350)</f>
        <v>350</v>
      </c>
      <c r="E1903" s="76">
        <f ca="1">IFERROR(__xludf.DUMMYFUNCTION("""COMPUTED_VALUE"""),950)</f>
        <v>950</v>
      </c>
      <c r="F1903" s="77">
        <f ca="1">IFERROR(__xludf.DUMMYFUNCTION("""COMPUTED_VALUE"""),20140338)</f>
        <v>20140338</v>
      </c>
      <c r="G1903" s="77" t="str">
        <f t="shared" ca="1" si="7"/>
        <v>si</v>
      </c>
    </row>
    <row r="1904" spans="1:7" ht="12.75" x14ac:dyDescent="0.2">
      <c r="A1904" s="62">
        <f ca="1">IFERROR(__xludf.DUMMYFUNCTION("""COMPUTED_VALUE"""),20140380)</f>
        <v>20140380</v>
      </c>
      <c r="B1904" s="62" t="str">
        <f ca="1">IFERROR(__xludf.DUMMYFUNCTION("""COMPUTED_VALUE"""),"PMIC Power Manager Integrated Controller 338s00267")</f>
        <v>PMIC Power Manager Integrated Controller 338s00267</v>
      </c>
      <c r="C1904" s="75">
        <f ca="1">IFERROR(__xludf.DUMMYFUNCTION("""COMPUTED_VALUE"""),450)</f>
        <v>450</v>
      </c>
      <c r="D1904" s="75">
        <f ca="1">IFERROR(__xludf.DUMMYFUNCTION("""COMPUTED_VALUE"""),400)</f>
        <v>400</v>
      </c>
      <c r="E1904" s="76">
        <f ca="1">IFERROR(__xludf.DUMMYFUNCTION("""COMPUTED_VALUE"""),850)</f>
        <v>850</v>
      </c>
      <c r="F1904" s="77">
        <f ca="1">IFERROR(__xludf.DUMMYFUNCTION("""COMPUTED_VALUE"""),20140380)</f>
        <v>20140380</v>
      </c>
      <c r="G1904" s="77" t="str">
        <f t="shared" ca="1" si="7"/>
        <v>si</v>
      </c>
    </row>
    <row r="1905" spans="1:7" ht="12.75" x14ac:dyDescent="0.2">
      <c r="A1905" s="62">
        <f ca="1">IFERROR(__xludf.DUMMYFUNCTION("""COMPUTED_VALUE"""),20140398)</f>
        <v>20140398</v>
      </c>
      <c r="B1905" s="62" t="str">
        <f ca="1">IFERROR(__xludf.DUMMYFUNCTION("""COMPUTED_VALUE"""),"Tarjeta WIFI-BLUETOOTH A1425-A1502-A1398")</f>
        <v>Tarjeta WIFI-BLUETOOTH A1425-A1502-A1398</v>
      </c>
      <c r="C1905" s="75">
        <f ca="1">IFERROR(__xludf.DUMMYFUNCTION("""COMPUTED_VALUE"""),250)</f>
        <v>250</v>
      </c>
      <c r="D1905" s="75">
        <f ca="1">IFERROR(__xludf.DUMMYFUNCTION("""COMPUTED_VALUE"""),100)</f>
        <v>100</v>
      </c>
      <c r="E1905" s="76">
        <f ca="1">IFERROR(__xludf.DUMMYFUNCTION("""COMPUTED_VALUE"""),350)</f>
        <v>350</v>
      </c>
      <c r="F1905" s="77">
        <f ca="1">IFERROR(__xludf.DUMMYFUNCTION("""COMPUTED_VALUE"""),20140398)</f>
        <v>20140398</v>
      </c>
      <c r="G1905" s="77" t="str">
        <f t="shared" ca="1" si="7"/>
        <v>si</v>
      </c>
    </row>
    <row r="1906" spans="1:7" ht="12.75" x14ac:dyDescent="0.2">
      <c r="A1906" s="62">
        <f ca="1">IFERROR(__xludf.DUMMYFUNCTION("""COMPUTED_VALUE"""),10160320)</f>
        <v>10160320</v>
      </c>
      <c r="B1906" s="62" t="str">
        <f ca="1">IFERROR(__xludf.DUMMYFUNCTION("""COMPUTED_VALUE"""),"Memoria Iphone 7G / 7P  128 GB")</f>
        <v>Memoria Iphone 7G / 7P  128 GB</v>
      </c>
      <c r="C1906" s="75">
        <f ca="1">IFERROR(__xludf.DUMMYFUNCTION("""COMPUTED_VALUE"""),90)</f>
        <v>90</v>
      </c>
      <c r="D1906" s="75">
        <f ca="1">IFERROR(__xludf.DUMMYFUNCTION("""COMPUTED_VALUE"""),100)</f>
        <v>100</v>
      </c>
      <c r="E1906" s="76">
        <f ca="1">IFERROR(__xludf.DUMMYFUNCTION("""COMPUTED_VALUE"""),190)</f>
        <v>190</v>
      </c>
      <c r="F1906" s="77">
        <f ca="1">IFERROR(__xludf.DUMMYFUNCTION("""COMPUTED_VALUE"""),10160320)</f>
        <v>10160320</v>
      </c>
      <c r="G1906" s="77" t="str">
        <f t="shared" ca="1" si="7"/>
        <v>si</v>
      </c>
    </row>
    <row r="1907" spans="1:7" ht="12.75" x14ac:dyDescent="0.2">
      <c r="A1907" s="62">
        <f ca="1">IFERROR(__xludf.DUMMYFUNCTION("""COMPUTED_VALUE"""),10020033)</f>
        <v>10020033</v>
      </c>
      <c r="B1907" s="62" t="str">
        <f ca="1">IFERROR(__xludf.DUMMYFUNCTION("""COMPUTED_VALUE"""),"Memoria Iphone 7G 256 GB")</f>
        <v>Memoria Iphone 7G 256 GB</v>
      </c>
      <c r="C1907" s="75">
        <f ca="1">IFERROR(__xludf.DUMMYFUNCTION("""COMPUTED_VALUE"""),100)</f>
        <v>100</v>
      </c>
      <c r="D1907" s="75">
        <f ca="1">IFERROR(__xludf.DUMMYFUNCTION("""COMPUTED_VALUE"""),90)</f>
        <v>90</v>
      </c>
      <c r="E1907" s="76">
        <f ca="1">IFERROR(__xludf.DUMMYFUNCTION("""COMPUTED_VALUE"""),190)</f>
        <v>190</v>
      </c>
      <c r="F1907" s="77">
        <f ca="1">IFERROR(__xludf.DUMMYFUNCTION("""COMPUTED_VALUE"""),10020033)</f>
        <v>10020033</v>
      </c>
      <c r="G1907" s="77" t="str">
        <f t="shared" ca="1" si="7"/>
        <v>si</v>
      </c>
    </row>
    <row r="1908" spans="1:7" ht="12.75" x14ac:dyDescent="0.2">
      <c r="A1908" s="62">
        <f ca="1">IFERROR(__xludf.DUMMYFUNCTION("""COMPUTED_VALUE"""),10020060)</f>
        <v>10020060</v>
      </c>
      <c r="B1908" s="62" t="str">
        <f ca="1">IFERROR(__xludf.DUMMYFUNCTION("""COMPUTED_VALUE"""),"Memoria Iphone 7P 256 GB")</f>
        <v>Memoria Iphone 7P 256 GB</v>
      </c>
      <c r="C1908" s="75">
        <f ca="1">IFERROR(__xludf.DUMMYFUNCTION("""COMPUTED_VALUE"""),100)</f>
        <v>100</v>
      </c>
      <c r="D1908" s="75">
        <f ca="1">IFERROR(__xludf.DUMMYFUNCTION("""COMPUTED_VALUE"""),90)</f>
        <v>90</v>
      </c>
      <c r="E1908" s="76">
        <f ca="1">IFERROR(__xludf.DUMMYFUNCTION("""COMPUTED_VALUE"""),190)</f>
        <v>190</v>
      </c>
      <c r="F1908" s="77">
        <f ca="1">IFERROR(__xludf.DUMMYFUNCTION("""COMPUTED_VALUE"""),10020060)</f>
        <v>10020060</v>
      </c>
      <c r="G1908" s="77" t="str">
        <f t="shared" ca="1" si="7"/>
        <v>si</v>
      </c>
    </row>
    <row r="1909" spans="1:7" ht="12.75" x14ac:dyDescent="0.2">
      <c r="A1909" s="62">
        <f ca="1">IFERROR(__xludf.DUMMYFUNCTION("""COMPUTED_VALUE"""),10020061)</f>
        <v>10020061</v>
      </c>
      <c r="B1909" s="62" t="str">
        <f ca="1">IFERROR(__xludf.DUMMYFUNCTION("""COMPUTED_VALUE"""),"Memoria Iphone 8G 256 GB")</f>
        <v>Memoria Iphone 8G 256 GB</v>
      </c>
      <c r="C1909" s="75">
        <f ca="1">IFERROR(__xludf.DUMMYFUNCTION("""COMPUTED_VALUE"""),190)</f>
        <v>190</v>
      </c>
      <c r="D1909" s="75">
        <f ca="1">IFERROR(__xludf.DUMMYFUNCTION("""COMPUTED_VALUE"""),50)</f>
        <v>50</v>
      </c>
      <c r="E1909" s="76">
        <f ca="1">IFERROR(__xludf.DUMMYFUNCTION("""COMPUTED_VALUE"""),240)</f>
        <v>240</v>
      </c>
      <c r="F1909" s="77">
        <f ca="1">IFERROR(__xludf.DUMMYFUNCTION("""COMPUTED_VALUE"""),10020061)</f>
        <v>10020061</v>
      </c>
      <c r="G1909" s="77" t="str">
        <f t="shared" ca="1" si="7"/>
        <v>si</v>
      </c>
    </row>
    <row r="1910" spans="1:7" ht="12.75" x14ac:dyDescent="0.2">
      <c r="A1910" s="62">
        <f ca="1">IFERROR(__xludf.DUMMYFUNCTION("""COMPUTED_VALUE"""),10020068)</f>
        <v>10020068</v>
      </c>
      <c r="B1910" s="62" t="str">
        <f ca="1">IFERROR(__xludf.DUMMYFUNCTION("""COMPUTED_VALUE"""),"Memoria Iphone 8P 256 GB")</f>
        <v>Memoria Iphone 8P 256 GB</v>
      </c>
      <c r="C1910" s="75">
        <f ca="1">IFERROR(__xludf.DUMMYFUNCTION("""COMPUTED_VALUE"""),190)</f>
        <v>190</v>
      </c>
      <c r="D1910" s="75">
        <f ca="1">IFERROR(__xludf.DUMMYFUNCTION("""COMPUTED_VALUE"""),50)</f>
        <v>50</v>
      </c>
      <c r="E1910" s="76">
        <f ca="1">IFERROR(__xludf.DUMMYFUNCTION("""COMPUTED_VALUE"""),240)</f>
        <v>240</v>
      </c>
      <c r="F1910" s="77">
        <f ca="1">IFERROR(__xludf.DUMMYFUNCTION("""COMPUTED_VALUE"""),10020068)</f>
        <v>10020068</v>
      </c>
      <c r="G1910" s="77" t="str">
        <f t="shared" ca="1" si="7"/>
        <v>si</v>
      </c>
    </row>
    <row r="1911" spans="1:7" ht="12.75" x14ac:dyDescent="0.2">
      <c r="A1911" s="62">
        <f ca="1">IFERROR(__xludf.DUMMYFUNCTION("""COMPUTED_VALUE"""),10020079)</f>
        <v>10020079</v>
      </c>
      <c r="B1911" s="62" t="str">
        <f ca="1">IFERROR(__xludf.DUMMYFUNCTION("""COMPUTED_VALUE"""),"Memoria Iphone X 256 GB")</f>
        <v>Memoria Iphone X 256 GB</v>
      </c>
      <c r="C1911" s="75">
        <f ca="1">IFERROR(__xludf.DUMMYFUNCTION("""COMPUTED_VALUE"""),240)</f>
        <v>240</v>
      </c>
      <c r="D1911" s="75">
        <f ca="1">IFERROR(__xludf.DUMMYFUNCTION("""COMPUTED_VALUE"""),50)</f>
        <v>50</v>
      </c>
      <c r="E1911" s="76">
        <f ca="1">IFERROR(__xludf.DUMMYFUNCTION("""COMPUTED_VALUE"""),290)</f>
        <v>290</v>
      </c>
      <c r="F1911" s="77">
        <f ca="1">IFERROR(__xludf.DUMMYFUNCTION("""COMPUTED_VALUE"""),10020079)</f>
        <v>10020079</v>
      </c>
      <c r="G1911" s="77" t="str">
        <f t="shared" ca="1" si="7"/>
        <v>si</v>
      </c>
    </row>
    <row r="1912" spans="1:7" ht="12.75" x14ac:dyDescent="0.2">
      <c r="A1912" s="62">
        <f ca="1">IFERROR(__xludf.DUMMYFUNCTION("""COMPUTED_VALUE"""),10020080)</f>
        <v>10020080</v>
      </c>
      <c r="B1912" s="62" t="str">
        <f ca="1">IFERROR(__xludf.DUMMYFUNCTION("""COMPUTED_VALUE"""),"Memoria Iphone Xr 256 GB")</f>
        <v>Memoria Iphone Xr 256 GB</v>
      </c>
      <c r="C1912" s="75">
        <f ca="1">IFERROR(__xludf.DUMMYFUNCTION("""COMPUTED_VALUE"""),240)</f>
        <v>240</v>
      </c>
      <c r="D1912" s="75">
        <f ca="1">IFERROR(__xludf.DUMMYFUNCTION("""COMPUTED_VALUE"""),50)</f>
        <v>50</v>
      </c>
      <c r="E1912" s="76">
        <f ca="1">IFERROR(__xludf.DUMMYFUNCTION("""COMPUTED_VALUE"""),290)</f>
        <v>290</v>
      </c>
      <c r="F1912" s="77">
        <f ca="1">IFERROR(__xludf.DUMMYFUNCTION("""COMPUTED_VALUE"""),10020080)</f>
        <v>10020080</v>
      </c>
      <c r="G1912" s="77" t="str">
        <f t="shared" ca="1" si="7"/>
        <v>si</v>
      </c>
    </row>
    <row r="1913" spans="1:7" ht="12.75" x14ac:dyDescent="0.2">
      <c r="A1913" s="62">
        <f ca="1">IFERROR(__xludf.DUMMYFUNCTION("""COMPUTED_VALUE"""),10020082)</f>
        <v>10020082</v>
      </c>
      <c r="B1913" s="62" t="str">
        <f ca="1">IFERROR(__xludf.DUMMYFUNCTION("""COMPUTED_VALUE"""),"Memoria Iphone 11 256 GB")</f>
        <v>Memoria Iphone 11 256 GB</v>
      </c>
      <c r="C1913" s="75">
        <f ca="1">IFERROR(__xludf.DUMMYFUNCTION("""COMPUTED_VALUE"""),240)</f>
        <v>240</v>
      </c>
      <c r="D1913" s="75">
        <f ca="1">IFERROR(__xludf.DUMMYFUNCTION("""COMPUTED_VALUE"""),150)</f>
        <v>150</v>
      </c>
      <c r="E1913" s="76">
        <f ca="1">IFERROR(__xludf.DUMMYFUNCTION("""COMPUTED_VALUE"""),390)</f>
        <v>390</v>
      </c>
      <c r="F1913" s="77">
        <f ca="1">IFERROR(__xludf.DUMMYFUNCTION("""COMPUTED_VALUE"""),10020082)</f>
        <v>10020082</v>
      </c>
      <c r="G1913" s="77" t="str">
        <f t="shared" ca="1" si="7"/>
        <v>si</v>
      </c>
    </row>
    <row r="1914" spans="1:7" ht="12.75" x14ac:dyDescent="0.2">
      <c r="A1914" s="62">
        <f ca="1">IFERROR(__xludf.DUMMYFUNCTION("""COMPUTED_VALUE"""),10020085)</f>
        <v>10020085</v>
      </c>
      <c r="B1914" s="62" t="str">
        <f ca="1">IFERROR(__xludf.DUMMYFUNCTION("""COMPUTED_VALUE"""),"Memoria Iphone 11Pro 256 GB")</f>
        <v>Memoria Iphone 11Pro 256 GB</v>
      </c>
      <c r="C1914" s="75">
        <f ca="1">IFERROR(__xludf.DUMMYFUNCTION("""COMPUTED_VALUE"""),240)</f>
        <v>240</v>
      </c>
      <c r="D1914" s="75">
        <f ca="1">IFERROR(__xludf.DUMMYFUNCTION("""COMPUTED_VALUE"""),150)</f>
        <v>150</v>
      </c>
      <c r="E1914" s="76">
        <f ca="1">IFERROR(__xludf.DUMMYFUNCTION("""COMPUTED_VALUE"""),390)</f>
        <v>390</v>
      </c>
      <c r="F1914" s="77">
        <f ca="1">IFERROR(__xludf.DUMMYFUNCTION("""COMPUTED_VALUE"""),10020085)</f>
        <v>10020085</v>
      </c>
      <c r="G1914" s="77" t="str">
        <f t="shared" ca="1" si="7"/>
        <v>si</v>
      </c>
    </row>
    <row r="1915" spans="1:7" ht="12.75" x14ac:dyDescent="0.2">
      <c r="A1915" s="62">
        <f ca="1">IFERROR(__xludf.DUMMYFUNCTION("""COMPUTED_VALUE"""),10020089)</f>
        <v>10020089</v>
      </c>
      <c r="B1915" s="62" t="str">
        <f ca="1">IFERROR(__xludf.DUMMYFUNCTION("""COMPUTED_VALUE"""),"Memoria Iphone 11Pro Max 256 GB")</f>
        <v>Memoria Iphone 11Pro Max 256 GB</v>
      </c>
      <c r="C1915" s="75">
        <f ca="1">IFERROR(__xludf.DUMMYFUNCTION("""COMPUTED_VALUE"""),240)</f>
        <v>240</v>
      </c>
      <c r="D1915" s="75">
        <f ca="1">IFERROR(__xludf.DUMMYFUNCTION("""COMPUTED_VALUE"""),150)</f>
        <v>150</v>
      </c>
      <c r="E1915" s="76">
        <f ca="1">IFERROR(__xludf.DUMMYFUNCTION("""COMPUTED_VALUE"""),390)</f>
        <v>390</v>
      </c>
      <c r="F1915" s="77">
        <f ca="1">IFERROR(__xludf.DUMMYFUNCTION("""COMPUTED_VALUE"""),10020089)</f>
        <v>10020089</v>
      </c>
      <c r="G1915" s="77" t="str">
        <f t="shared" ca="1" si="7"/>
        <v>si</v>
      </c>
    </row>
    <row r="1916" spans="1:7" ht="12.75" x14ac:dyDescent="0.2">
      <c r="A1916" s="62">
        <f ca="1">IFERROR(__xludf.DUMMYFUNCTION("""COMPUTED_VALUE"""),10020024)</f>
        <v>10020024</v>
      </c>
      <c r="B1916" s="62" t="str">
        <f ca="1">IFERROR(__xludf.DUMMYFUNCTION("""COMPUTED_VALUE"""),"Memoria Iphone Xs 512 GB")</f>
        <v>Memoria Iphone Xs 512 GB</v>
      </c>
      <c r="C1916" s="75">
        <f ca="1">IFERROR(__xludf.DUMMYFUNCTION("""COMPUTED_VALUE"""),240)</f>
        <v>240</v>
      </c>
      <c r="D1916" s="75">
        <f ca="1">IFERROR(__xludf.DUMMYFUNCTION("""COMPUTED_VALUE"""),200)</f>
        <v>200</v>
      </c>
      <c r="E1916" s="76">
        <f ca="1">IFERROR(__xludf.DUMMYFUNCTION("""COMPUTED_VALUE"""),440)</f>
        <v>440</v>
      </c>
      <c r="F1916" s="77">
        <f ca="1">IFERROR(__xludf.DUMMYFUNCTION("""COMPUTED_VALUE"""),10020024)</f>
        <v>10020024</v>
      </c>
      <c r="G1916" s="77" t="str">
        <f t="shared" ca="1" si="7"/>
        <v>si</v>
      </c>
    </row>
    <row r="1917" spans="1:7" ht="12.75" x14ac:dyDescent="0.2">
      <c r="A1917" s="62">
        <f ca="1">IFERROR(__xludf.DUMMYFUNCTION("""COMPUTED_VALUE"""),10020025)</f>
        <v>10020025</v>
      </c>
      <c r="B1917" s="62" t="str">
        <f ca="1">IFERROR(__xludf.DUMMYFUNCTION("""COMPUTED_VALUE"""),"Memoria Iphone Xs Max 512 GB")</f>
        <v>Memoria Iphone Xs Max 512 GB</v>
      </c>
      <c r="C1917" s="75">
        <f ca="1">IFERROR(__xludf.DUMMYFUNCTION("""COMPUTED_VALUE"""),270)</f>
        <v>270</v>
      </c>
      <c r="D1917" s="75">
        <f ca="1">IFERROR(__xludf.DUMMYFUNCTION("""COMPUTED_VALUE"""),200)</f>
        <v>200</v>
      </c>
      <c r="E1917" s="76">
        <f ca="1">IFERROR(__xludf.DUMMYFUNCTION("""COMPUTED_VALUE"""),470)</f>
        <v>470</v>
      </c>
      <c r="F1917" s="77">
        <f ca="1">IFERROR(__xludf.DUMMYFUNCTION("""COMPUTED_VALUE"""),10020025)</f>
        <v>10020025</v>
      </c>
      <c r="G1917" s="77" t="str">
        <f t="shared" ca="1" si="7"/>
        <v>si</v>
      </c>
    </row>
    <row r="1918" spans="1:7" ht="12.75" x14ac:dyDescent="0.2">
      <c r="A1918" s="62">
        <f ca="1">IFERROR(__xludf.DUMMYFUNCTION("""COMPUTED_VALUE"""),10020026)</f>
        <v>10020026</v>
      </c>
      <c r="B1918" s="62" t="str">
        <f ca="1">IFERROR(__xludf.DUMMYFUNCTION("""COMPUTED_VALUE"""),"Memoria Iphone 11Pro 512 GB")</f>
        <v>Memoria Iphone 11Pro 512 GB</v>
      </c>
      <c r="C1918" s="75">
        <f ca="1">IFERROR(__xludf.DUMMYFUNCTION("""COMPUTED_VALUE"""),270)</f>
        <v>270</v>
      </c>
      <c r="D1918" s="75">
        <f ca="1">IFERROR(__xludf.DUMMYFUNCTION("""COMPUTED_VALUE"""),220)</f>
        <v>220</v>
      </c>
      <c r="E1918" s="76">
        <f ca="1">IFERROR(__xludf.DUMMYFUNCTION("""COMPUTED_VALUE"""),490)</f>
        <v>490</v>
      </c>
      <c r="F1918" s="77">
        <f ca="1">IFERROR(__xludf.DUMMYFUNCTION("""COMPUTED_VALUE"""),10020026)</f>
        <v>10020026</v>
      </c>
      <c r="G1918" s="77" t="str">
        <f t="shared" ca="1" si="7"/>
        <v>si</v>
      </c>
    </row>
    <row r="1919" spans="1:7" ht="12.75" x14ac:dyDescent="0.2">
      <c r="A1919" s="62">
        <f ca="1">IFERROR(__xludf.DUMMYFUNCTION("""COMPUTED_VALUE"""),10020109)</f>
        <v>10020109</v>
      </c>
      <c r="B1919" s="62" t="str">
        <f ca="1">IFERROR(__xludf.DUMMYFUNCTION("""COMPUTED_VALUE"""),"Memoria Iphone 11Pro Max 512 GB")</f>
        <v>Memoria Iphone 11Pro Max 512 GB</v>
      </c>
      <c r="C1919" s="75">
        <f ca="1">IFERROR(__xludf.DUMMYFUNCTION("""COMPUTED_VALUE"""),270)</f>
        <v>270</v>
      </c>
      <c r="D1919" s="75">
        <f ca="1">IFERROR(__xludf.DUMMYFUNCTION("""COMPUTED_VALUE"""),220)</f>
        <v>220</v>
      </c>
      <c r="E1919" s="76">
        <f ca="1">IFERROR(__xludf.DUMMYFUNCTION("""COMPUTED_VALUE"""),490)</f>
        <v>490</v>
      </c>
      <c r="F1919" s="77">
        <f ca="1">IFERROR(__xludf.DUMMYFUNCTION("""COMPUTED_VALUE"""),10020109)</f>
        <v>10020109</v>
      </c>
      <c r="G1919" s="77" t="str">
        <f t="shared" ca="1" si="7"/>
        <v>si</v>
      </c>
    </row>
    <row r="1920" spans="1:7" ht="12.75" x14ac:dyDescent="0.2">
      <c r="A1920" s="62">
        <f ca="1">IFERROR(__xludf.DUMMYFUNCTION("""COMPUTED_VALUE"""),10160321)</f>
        <v>10160321</v>
      </c>
      <c r="B1920" s="62" t="str">
        <f ca="1">IFERROR(__xludf.DUMMYFUNCTION("""COMPUTED_VALUE"""),"Memoria Iphone 12 - 12 Pro - 12 Pro Max - 12 mini 512 GB")</f>
        <v>Memoria Iphone 12 - 12 Pro - 12 Pro Max - 12 mini 512 GB</v>
      </c>
      <c r="C1920" s="75">
        <f ca="1">IFERROR(__xludf.DUMMYFUNCTION("""COMPUTED_VALUE"""),350)</f>
        <v>350</v>
      </c>
      <c r="D1920" s="75">
        <f ca="1">IFERROR(__xludf.DUMMYFUNCTION("""COMPUTED_VALUE"""),240)</f>
        <v>240</v>
      </c>
      <c r="E1920" s="76">
        <f ca="1">IFERROR(__xludf.DUMMYFUNCTION("""COMPUTED_VALUE"""),590)</f>
        <v>590</v>
      </c>
      <c r="F1920" s="77">
        <f ca="1">IFERROR(__xludf.DUMMYFUNCTION("""COMPUTED_VALUE"""),10160321)</f>
        <v>10160321</v>
      </c>
      <c r="G1920" s="77" t="str">
        <f t="shared" ca="1" si="7"/>
        <v>si</v>
      </c>
    </row>
    <row r="1921" spans="1:7" ht="12.75" x14ac:dyDescent="0.2">
      <c r="A1921" s="62">
        <f ca="1">IFERROR(__xludf.DUMMYFUNCTION("""COMPUTED_VALUE"""),10020002)</f>
        <v>10020002</v>
      </c>
      <c r="B1921" s="62" t="str">
        <f ca="1">IFERROR(__xludf.DUMMYFUNCTION("""COMPUTED_VALUE"""),"circuito Wifi 6s")</f>
        <v>circuito Wifi 6s</v>
      </c>
      <c r="C1921" s="75">
        <f ca="1">IFERROR(__xludf.DUMMYFUNCTION("""COMPUTED_VALUE"""),30)</f>
        <v>30</v>
      </c>
      <c r="D1921" s="75">
        <f ca="1">IFERROR(__xludf.DUMMYFUNCTION("""COMPUTED_VALUE"""),210)</f>
        <v>210</v>
      </c>
      <c r="E1921" s="76">
        <f ca="1">IFERROR(__xludf.DUMMYFUNCTION("""COMPUTED_VALUE"""),240)</f>
        <v>240</v>
      </c>
      <c r="F1921" s="77">
        <f ca="1">IFERROR(__xludf.DUMMYFUNCTION("""COMPUTED_VALUE"""),10020002)</f>
        <v>10020002</v>
      </c>
      <c r="G1921" s="77" t="str">
        <f t="shared" ca="1" si="7"/>
        <v>si</v>
      </c>
    </row>
    <row r="1922" spans="1:7" ht="12.75" x14ac:dyDescent="0.2">
      <c r="A1922" s="62">
        <f ca="1">IFERROR(__xludf.DUMMYFUNCTION("""COMPUTED_VALUE"""),10040010)</f>
        <v>10040010</v>
      </c>
      <c r="B1922" s="62" t="str">
        <f ca="1">IFERROR(__xludf.DUMMYFUNCTION("""COMPUTED_VALUE"""),"Audio 7/7p")</f>
        <v>Audio 7/7p</v>
      </c>
      <c r="C1922" s="75">
        <f ca="1">IFERROR(__xludf.DUMMYFUNCTION("""COMPUTED_VALUE"""),30)</f>
        <v>30</v>
      </c>
      <c r="D1922" s="75">
        <f ca="1">IFERROR(__xludf.DUMMYFUNCTION("""COMPUTED_VALUE"""),210)</f>
        <v>210</v>
      </c>
      <c r="E1922" s="76">
        <f ca="1">IFERROR(__xludf.DUMMYFUNCTION("""COMPUTED_VALUE"""),240)</f>
        <v>240</v>
      </c>
      <c r="F1922" s="77">
        <f ca="1">IFERROR(__xludf.DUMMYFUNCTION("""COMPUTED_VALUE"""),10040010)</f>
        <v>10040010</v>
      </c>
      <c r="G1922" s="77" t="str">
        <f t="shared" ca="1" si="7"/>
        <v>si</v>
      </c>
    </row>
    <row r="1923" spans="1:7" ht="12.75" x14ac:dyDescent="0.2">
      <c r="A1923" s="62">
        <f ca="1">IFERROR(__xludf.DUMMYFUNCTION("""COMPUTED_VALUE"""),20060009)</f>
        <v>20060009</v>
      </c>
      <c r="B1923" s="62" t="str">
        <f ca="1">IFERROR(__xludf.DUMMYFUNCTION("""COMPUTED_VALUE"""),"Circuito audio 7/7p")</f>
        <v>Circuito audio 7/7p</v>
      </c>
      <c r="C1923" s="75">
        <f ca="1">IFERROR(__xludf.DUMMYFUNCTION("""COMPUTED_VALUE"""),30)</f>
        <v>30</v>
      </c>
      <c r="D1923" s="75">
        <f ca="1">IFERROR(__xludf.DUMMYFUNCTION("""COMPUTED_VALUE"""),210)</f>
        <v>210</v>
      </c>
      <c r="E1923" s="76">
        <f ca="1">IFERROR(__xludf.DUMMYFUNCTION("""COMPUTED_VALUE"""),240)</f>
        <v>240</v>
      </c>
      <c r="F1923" s="77">
        <f ca="1">IFERROR(__xludf.DUMMYFUNCTION("""COMPUTED_VALUE"""),20060009)</f>
        <v>20060009</v>
      </c>
      <c r="G1923" s="77" t="str">
        <f t="shared" ca="1" si="7"/>
        <v>si</v>
      </c>
    </row>
    <row r="1924" spans="1:7" ht="12.75" x14ac:dyDescent="0.2">
      <c r="A1924" s="62">
        <f ca="1">IFERROR(__xludf.DUMMYFUNCTION("""COMPUTED_VALUE"""),10080027)</f>
        <v>10080027</v>
      </c>
      <c r="B1924" s="62" t="str">
        <f ca="1">IFERROR(__xludf.DUMMYFUNCTION("""COMPUTED_VALUE"""),"Tristar A3")</f>
        <v>Tristar A3</v>
      </c>
      <c r="C1924" s="75">
        <f ca="1">IFERROR(__xludf.DUMMYFUNCTION("""COMPUTED_VALUE"""),30)</f>
        <v>30</v>
      </c>
      <c r="D1924" s="75">
        <f ca="1">IFERROR(__xludf.DUMMYFUNCTION("""COMPUTED_VALUE"""),210)</f>
        <v>210</v>
      </c>
      <c r="E1924" s="76">
        <f ca="1">IFERROR(__xludf.DUMMYFUNCTION("""COMPUTED_VALUE"""),240)</f>
        <v>240</v>
      </c>
      <c r="F1924" s="77">
        <f ca="1">IFERROR(__xludf.DUMMYFUNCTION("""COMPUTED_VALUE"""),10080027)</f>
        <v>10080027</v>
      </c>
      <c r="G1924" s="77" t="str">
        <f t="shared" ca="1" si="7"/>
        <v>si</v>
      </c>
    </row>
    <row r="1925" spans="1:7" ht="12.75" x14ac:dyDescent="0.2">
      <c r="A1925" s="62">
        <f ca="1">IFERROR(__xludf.DUMMYFUNCTION("""COMPUTED_VALUE"""),10040011)</f>
        <v>10040011</v>
      </c>
      <c r="B1925" s="62" t="str">
        <f ca="1">IFERROR(__xludf.DUMMYFUNCTION("""COMPUTED_VALUE"""),"Hydra iphone 11")</f>
        <v>Hydra iphone 11</v>
      </c>
      <c r="C1925" s="75">
        <f ca="1">IFERROR(__xludf.DUMMYFUNCTION("""COMPUTED_VALUE"""),30)</f>
        <v>30</v>
      </c>
      <c r="D1925" s="75">
        <f ca="1">IFERROR(__xludf.DUMMYFUNCTION("""COMPUTED_VALUE"""),260)</f>
        <v>260</v>
      </c>
      <c r="E1925" s="76">
        <f ca="1">IFERROR(__xludf.DUMMYFUNCTION("""COMPUTED_VALUE"""),290)</f>
        <v>290</v>
      </c>
      <c r="F1925" s="77">
        <f ca="1">IFERROR(__xludf.DUMMYFUNCTION("""COMPUTED_VALUE"""),10040011)</f>
        <v>10040011</v>
      </c>
      <c r="G1925" s="77" t="str">
        <f t="shared" ca="1" si="7"/>
        <v>si</v>
      </c>
    </row>
    <row r="1926" spans="1:7" ht="12.75" x14ac:dyDescent="0.2">
      <c r="A1926" s="62">
        <f ca="1">IFERROR(__xludf.DUMMYFUNCTION("""COMPUTED_VALUE"""),10010269)</f>
        <v>10010269</v>
      </c>
      <c r="B1926" s="62" t="str">
        <f ca="1">IFERROR(__xludf.DUMMYFUNCTION("""COMPUTED_VALUE"""),"Flex de Face Id Iphone X ")</f>
        <v xml:space="preserve">Flex de Face Id Iphone X </v>
      </c>
      <c r="C1926" s="75">
        <f ca="1">IFERROR(__xludf.DUMMYFUNCTION("""COMPUTED_VALUE"""),60)</f>
        <v>60</v>
      </c>
      <c r="D1926" s="75">
        <f ca="1">IFERROR(__xludf.DUMMYFUNCTION("""COMPUTED_VALUE"""),150)</f>
        <v>150</v>
      </c>
      <c r="E1926" s="76">
        <f ca="1">IFERROR(__xludf.DUMMYFUNCTION("""COMPUTED_VALUE"""),210)</f>
        <v>210</v>
      </c>
      <c r="F1926" s="77">
        <f ca="1">IFERROR(__xludf.DUMMYFUNCTION("""COMPUTED_VALUE"""),10010269)</f>
        <v>10010269</v>
      </c>
      <c r="G1926" s="77" t="str">
        <f t="shared" ca="1" si="7"/>
        <v>si</v>
      </c>
    </row>
    <row r="1927" spans="1:7" ht="12.75" x14ac:dyDescent="0.2">
      <c r="A1927" s="62">
        <f ca="1">IFERROR(__xludf.DUMMYFUNCTION("""COMPUTED_VALUE"""),10160063)</f>
        <v>10160063</v>
      </c>
      <c r="B1927" s="62" t="str">
        <f ca="1">IFERROR(__xludf.DUMMYFUNCTION("""COMPUTED_VALUE"""),"Flex de Face Id Iphone Xs")</f>
        <v>Flex de Face Id Iphone Xs</v>
      </c>
      <c r="C1927" s="75">
        <f ca="1">IFERROR(__xludf.DUMMYFUNCTION("""COMPUTED_VALUE"""),60)</f>
        <v>60</v>
      </c>
      <c r="D1927" s="75">
        <f ca="1">IFERROR(__xludf.DUMMYFUNCTION("""COMPUTED_VALUE"""),150)</f>
        <v>150</v>
      </c>
      <c r="E1927" s="76">
        <f ca="1">IFERROR(__xludf.DUMMYFUNCTION("""COMPUTED_VALUE"""),210)</f>
        <v>210</v>
      </c>
      <c r="F1927" s="77">
        <f ca="1">IFERROR(__xludf.DUMMYFUNCTION("""COMPUTED_VALUE"""),10160063)</f>
        <v>10160063</v>
      </c>
      <c r="G1927" s="77" t="str">
        <f t="shared" ca="1" si="7"/>
        <v>si</v>
      </c>
    </row>
    <row r="1928" spans="1:7" ht="12.75" x14ac:dyDescent="0.2">
      <c r="A1928" s="62">
        <f ca="1">IFERROR(__xludf.DUMMYFUNCTION("""COMPUTED_VALUE"""),10160064)</f>
        <v>10160064</v>
      </c>
      <c r="B1928" s="62" t="str">
        <f ca="1">IFERROR(__xludf.DUMMYFUNCTION("""COMPUTED_VALUE"""),"Flex de Face Id Iphone Xr")</f>
        <v>Flex de Face Id Iphone Xr</v>
      </c>
      <c r="C1928" s="75">
        <f ca="1">IFERROR(__xludf.DUMMYFUNCTION("""COMPUTED_VALUE"""),60)</f>
        <v>60</v>
      </c>
      <c r="D1928" s="75">
        <f ca="1">IFERROR(__xludf.DUMMYFUNCTION("""COMPUTED_VALUE"""),150)</f>
        <v>150</v>
      </c>
      <c r="E1928" s="76">
        <f ca="1">IFERROR(__xludf.DUMMYFUNCTION("""COMPUTED_VALUE"""),210)</f>
        <v>210</v>
      </c>
      <c r="F1928" s="77">
        <f ca="1">IFERROR(__xludf.DUMMYFUNCTION("""COMPUTED_VALUE"""),10160064)</f>
        <v>10160064</v>
      </c>
      <c r="G1928" s="77" t="str">
        <f t="shared" ca="1" si="7"/>
        <v>si</v>
      </c>
    </row>
    <row r="1929" spans="1:7" ht="12.75" x14ac:dyDescent="0.2">
      <c r="A1929" s="62">
        <f ca="1">IFERROR(__xludf.DUMMYFUNCTION("""COMPUTED_VALUE"""),10160065)</f>
        <v>10160065</v>
      </c>
      <c r="B1929" s="62" t="str">
        <f ca="1">IFERROR(__xludf.DUMMYFUNCTION("""COMPUTED_VALUE"""),"Flex de Face Id Iphone Xs Max")</f>
        <v>Flex de Face Id Iphone Xs Max</v>
      </c>
      <c r="C1929" s="75">
        <f ca="1">IFERROR(__xludf.DUMMYFUNCTION("""COMPUTED_VALUE"""),60)</f>
        <v>60</v>
      </c>
      <c r="D1929" s="75">
        <f ca="1">IFERROR(__xludf.DUMMYFUNCTION("""COMPUTED_VALUE"""),150)</f>
        <v>150</v>
      </c>
      <c r="E1929" s="76">
        <f ca="1">IFERROR(__xludf.DUMMYFUNCTION("""COMPUTED_VALUE"""),210)</f>
        <v>210</v>
      </c>
      <c r="F1929" s="77">
        <f ca="1">IFERROR(__xludf.DUMMYFUNCTION("""COMPUTED_VALUE"""),10160065)</f>
        <v>10160065</v>
      </c>
      <c r="G1929" s="77" t="str">
        <f t="shared" ca="1" si="7"/>
        <v>si</v>
      </c>
    </row>
    <row r="1930" spans="1:7" ht="12.75" x14ac:dyDescent="0.2">
      <c r="A1930" s="62">
        <f ca="1">IFERROR(__xludf.DUMMYFUNCTION("""COMPUTED_VALUE"""),10160066)</f>
        <v>10160066</v>
      </c>
      <c r="B1930" s="62" t="str">
        <f ca="1">IFERROR(__xludf.DUMMYFUNCTION("""COMPUTED_VALUE"""),"Flex de Face Id Iphone 11")</f>
        <v>Flex de Face Id Iphone 11</v>
      </c>
      <c r="C1930" s="75">
        <f ca="1">IFERROR(__xludf.DUMMYFUNCTION("""COMPUTED_VALUE"""),70)</f>
        <v>70</v>
      </c>
      <c r="D1930" s="75">
        <f ca="1">IFERROR(__xludf.DUMMYFUNCTION("""COMPUTED_VALUE"""),200)</f>
        <v>200</v>
      </c>
      <c r="E1930" s="76">
        <f ca="1">IFERROR(__xludf.DUMMYFUNCTION("""COMPUTED_VALUE"""),270)</f>
        <v>270</v>
      </c>
      <c r="F1930" s="77">
        <f ca="1">IFERROR(__xludf.DUMMYFUNCTION("""COMPUTED_VALUE"""),10160066)</f>
        <v>10160066</v>
      </c>
      <c r="G1930" s="77" t="str">
        <f t="shared" ca="1" si="7"/>
        <v>si</v>
      </c>
    </row>
    <row r="1931" spans="1:7" ht="12.75" x14ac:dyDescent="0.2">
      <c r="A1931" s="62">
        <f ca="1">IFERROR(__xludf.DUMMYFUNCTION("""COMPUTED_VALUE"""),10160067)</f>
        <v>10160067</v>
      </c>
      <c r="B1931" s="62" t="str">
        <f ca="1">IFERROR(__xludf.DUMMYFUNCTION("""COMPUTED_VALUE"""),"Flex de Face Id Iphone 11 Pro")</f>
        <v>Flex de Face Id Iphone 11 Pro</v>
      </c>
      <c r="C1931" s="75">
        <f ca="1">IFERROR(__xludf.DUMMYFUNCTION("""COMPUTED_VALUE"""),70)</f>
        <v>70</v>
      </c>
      <c r="D1931" s="75">
        <f ca="1">IFERROR(__xludf.DUMMYFUNCTION("""COMPUTED_VALUE"""),200)</f>
        <v>200</v>
      </c>
      <c r="E1931" s="76">
        <f ca="1">IFERROR(__xludf.DUMMYFUNCTION("""COMPUTED_VALUE"""),270)</f>
        <v>270</v>
      </c>
      <c r="F1931" s="77">
        <f ca="1">IFERROR(__xludf.DUMMYFUNCTION("""COMPUTED_VALUE"""),10160067)</f>
        <v>10160067</v>
      </c>
      <c r="G1931" s="77" t="str">
        <f t="shared" ca="1" si="7"/>
        <v>si</v>
      </c>
    </row>
    <row r="1932" spans="1:7" ht="12.75" x14ac:dyDescent="0.2">
      <c r="A1932" s="62">
        <f ca="1">IFERROR(__xludf.DUMMYFUNCTION("""COMPUTED_VALUE"""),10160068)</f>
        <v>10160068</v>
      </c>
      <c r="B1932" s="62" t="str">
        <f ca="1">IFERROR(__xludf.DUMMYFUNCTION("""COMPUTED_VALUE"""),"Flex de Face Id Iphone 11 Pro max ")</f>
        <v xml:space="preserve">Flex de Face Id Iphone 11 Pro max </v>
      </c>
      <c r="C1932" s="75">
        <f ca="1">IFERROR(__xludf.DUMMYFUNCTION("""COMPUTED_VALUE"""),70)</f>
        <v>70</v>
      </c>
      <c r="D1932" s="75">
        <f ca="1">IFERROR(__xludf.DUMMYFUNCTION("""COMPUTED_VALUE"""),200)</f>
        <v>200</v>
      </c>
      <c r="E1932" s="76">
        <f ca="1">IFERROR(__xludf.DUMMYFUNCTION("""COMPUTED_VALUE"""),270)</f>
        <v>270</v>
      </c>
      <c r="F1932" s="77">
        <f ca="1">IFERROR(__xludf.DUMMYFUNCTION("""COMPUTED_VALUE"""),10160068)</f>
        <v>10160068</v>
      </c>
      <c r="G1932" s="77" t="str">
        <f t="shared" ca="1" si="7"/>
        <v>si</v>
      </c>
    </row>
    <row r="1933" spans="1:7" ht="12.75" x14ac:dyDescent="0.2">
      <c r="A1933" s="62">
        <f ca="1">IFERROR(__xludf.DUMMYFUNCTION("""COMPUTED_VALUE"""),10160069)</f>
        <v>10160069</v>
      </c>
      <c r="B1933" s="62" t="str">
        <f ca="1">IFERROR(__xludf.DUMMYFUNCTION("""COMPUTED_VALUE"""),"Flex de Face Id Iphone 12")</f>
        <v>Flex de Face Id Iphone 12</v>
      </c>
      <c r="C1933" s="75">
        <f ca="1">IFERROR(__xludf.DUMMYFUNCTION("""COMPUTED_VALUE"""),80)</f>
        <v>80</v>
      </c>
      <c r="D1933" s="75">
        <f ca="1">IFERROR(__xludf.DUMMYFUNCTION("""COMPUTED_VALUE"""),250)</f>
        <v>250</v>
      </c>
      <c r="E1933" s="76">
        <f ca="1">IFERROR(__xludf.DUMMYFUNCTION("""COMPUTED_VALUE"""),330)</f>
        <v>330</v>
      </c>
      <c r="F1933" s="77">
        <f ca="1">IFERROR(__xludf.DUMMYFUNCTION("""COMPUTED_VALUE"""),10160069)</f>
        <v>10160069</v>
      </c>
      <c r="G1933" s="77" t="str">
        <f t="shared" ca="1" si="7"/>
        <v>si</v>
      </c>
    </row>
    <row r="1934" spans="1:7" ht="12.75" x14ac:dyDescent="0.2">
      <c r="A1934" s="62">
        <f ca="1">IFERROR(__xludf.DUMMYFUNCTION("""COMPUTED_VALUE"""),10160070)</f>
        <v>10160070</v>
      </c>
      <c r="B1934" s="62" t="str">
        <f ca="1">IFERROR(__xludf.DUMMYFUNCTION("""COMPUTED_VALUE"""),"Flex de Face Id Iphone 12 Pro")</f>
        <v>Flex de Face Id Iphone 12 Pro</v>
      </c>
      <c r="C1934" s="75">
        <f ca="1">IFERROR(__xludf.DUMMYFUNCTION("""COMPUTED_VALUE"""),80)</f>
        <v>80</v>
      </c>
      <c r="D1934" s="75">
        <f ca="1">IFERROR(__xludf.DUMMYFUNCTION("""COMPUTED_VALUE"""),250)</f>
        <v>250</v>
      </c>
      <c r="E1934" s="76">
        <f ca="1">IFERROR(__xludf.DUMMYFUNCTION("""COMPUTED_VALUE"""),330)</f>
        <v>330</v>
      </c>
      <c r="F1934" s="77">
        <f ca="1">IFERROR(__xludf.DUMMYFUNCTION("""COMPUTED_VALUE"""),10160070)</f>
        <v>10160070</v>
      </c>
      <c r="G1934" s="77" t="str">
        <f t="shared" ca="1" si="7"/>
        <v>si</v>
      </c>
    </row>
    <row r="1935" spans="1:7" ht="12.75" x14ac:dyDescent="0.2">
      <c r="A1935" s="62">
        <f ca="1">IFERROR(__xludf.DUMMYFUNCTION("""COMPUTED_VALUE"""),10160071)</f>
        <v>10160071</v>
      </c>
      <c r="B1935" s="62" t="str">
        <f ca="1">IFERROR(__xludf.DUMMYFUNCTION("""COMPUTED_VALUE"""),"Flex de Face Id Iphone 12 Pro Max")</f>
        <v>Flex de Face Id Iphone 12 Pro Max</v>
      </c>
      <c r="C1935" s="75">
        <f ca="1">IFERROR(__xludf.DUMMYFUNCTION("""COMPUTED_VALUE"""),80)</f>
        <v>80</v>
      </c>
      <c r="D1935" s="75">
        <f ca="1">IFERROR(__xludf.DUMMYFUNCTION("""COMPUTED_VALUE"""),250)</f>
        <v>250</v>
      </c>
      <c r="E1935" s="76">
        <f ca="1">IFERROR(__xludf.DUMMYFUNCTION("""COMPUTED_VALUE"""),330)</f>
        <v>330</v>
      </c>
      <c r="F1935" s="77">
        <f ca="1">IFERROR(__xludf.DUMMYFUNCTION("""COMPUTED_VALUE"""),10160071)</f>
        <v>10160071</v>
      </c>
      <c r="G1935" s="77" t="str">
        <f t="shared" ca="1" si="7"/>
        <v>si</v>
      </c>
    </row>
    <row r="1936" spans="1:7" ht="12.75" x14ac:dyDescent="0.2">
      <c r="A1936" s="62">
        <f ca="1">IFERROR(__xludf.DUMMYFUNCTION("""COMPUTED_VALUE"""),10160072)</f>
        <v>10160072</v>
      </c>
      <c r="B1936" s="62" t="str">
        <f ca="1">IFERROR(__xludf.DUMMYFUNCTION("""COMPUTED_VALUE"""),"Flex FPC Reemplazo de Face Id Iphone X")</f>
        <v>Flex FPC Reemplazo de Face Id Iphone X</v>
      </c>
      <c r="C1936" s="75">
        <f ca="1">IFERROR(__xludf.DUMMYFUNCTION("""COMPUTED_VALUE"""),70)</f>
        <v>70</v>
      </c>
      <c r="D1936" s="75">
        <f ca="1">IFERROR(__xludf.DUMMYFUNCTION("""COMPUTED_VALUE"""),150)</f>
        <v>150</v>
      </c>
      <c r="E1936" s="76">
        <f ca="1">IFERROR(__xludf.DUMMYFUNCTION("""COMPUTED_VALUE"""),220)</f>
        <v>220</v>
      </c>
      <c r="F1936" s="77">
        <f ca="1">IFERROR(__xludf.DUMMYFUNCTION("""COMPUTED_VALUE"""),10160072)</f>
        <v>10160072</v>
      </c>
      <c r="G1936" s="77" t="str">
        <f t="shared" ca="1" si="7"/>
        <v>si</v>
      </c>
    </row>
    <row r="1937" spans="1:7" ht="12.75" x14ac:dyDescent="0.2">
      <c r="A1937" s="62">
        <f ca="1">IFERROR(__xludf.DUMMYFUNCTION("""COMPUTED_VALUE"""),10160073)</f>
        <v>10160073</v>
      </c>
      <c r="B1937" s="62" t="str">
        <f ca="1">IFERROR(__xludf.DUMMYFUNCTION("""COMPUTED_VALUE"""),"Flex FPC Reemplazo de Face Id Iphone Xs")</f>
        <v>Flex FPC Reemplazo de Face Id Iphone Xs</v>
      </c>
      <c r="C1937" s="75">
        <f ca="1">IFERROR(__xludf.DUMMYFUNCTION("""COMPUTED_VALUE"""),70)</f>
        <v>70</v>
      </c>
      <c r="D1937" s="75">
        <f ca="1">IFERROR(__xludf.DUMMYFUNCTION("""COMPUTED_VALUE"""),150)</f>
        <v>150</v>
      </c>
      <c r="E1937" s="76">
        <f ca="1">IFERROR(__xludf.DUMMYFUNCTION("""COMPUTED_VALUE"""),220)</f>
        <v>220</v>
      </c>
      <c r="F1937" s="77">
        <f ca="1">IFERROR(__xludf.DUMMYFUNCTION("""COMPUTED_VALUE"""),10160073)</f>
        <v>10160073</v>
      </c>
      <c r="G1937" s="77" t="str">
        <f t="shared" ca="1" si="7"/>
        <v>si</v>
      </c>
    </row>
    <row r="1938" spans="1:7" ht="12.75" x14ac:dyDescent="0.2">
      <c r="A1938" s="62">
        <f ca="1">IFERROR(__xludf.DUMMYFUNCTION("""COMPUTED_VALUE"""),10160074)</f>
        <v>10160074</v>
      </c>
      <c r="B1938" s="62" t="str">
        <f ca="1">IFERROR(__xludf.DUMMYFUNCTION("""COMPUTED_VALUE"""),"Flex FPC Reemplazo de Face Id Iphone XR")</f>
        <v>Flex FPC Reemplazo de Face Id Iphone XR</v>
      </c>
      <c r="C1938" s="75">
        <f ca="1">IFERROR(__xludf.DUMMYFUNCTION("""COMPUTED_VALUE"""),70)</f>
        <v>70</v>
      </c>
      <c r="D1938" s="75">
        <f ca="1">IFERROR(__xludf.DUMMYFUNCTION("""COMPUTED_VALUE"""),150)</f>
        <v>150</v>
      </c>
      <c r="E1938" s="76">
        <f ca="1">IFERROR(__xludf.DUMMYFUNCTION("""COMPUTED_VALUE"""),220)</f>
        <v>220</v>
      </c>
      <c r="F1938" s="77">
        <f ca="1">IFERROR(__xludf.DUMMYFUNCTION("""COMPUTED_VALUE"""),10160074)</f>
        <v>10160074</v>
      </c>
      <c r="G1938" s="77" t="str">
        <f t="shared" ca="1" si="7"/>
        <v>si</v>
      </c>
    </row>
    <row r="1939" spans="1:7" ht="12.75" x14ac:dyDescent="0.2">
      <c r="A1939" s="62">
        <f ca="1">IFERROR(__xludf.DUMMYFUNCTION("""COMPUTED_VALUE"""),10160075)</f>
        <v>10160075</v>
      </c>
      <c r="B1939" s="62" t="str">
        <f ca="1">IFERROR(__xludf.DUMMYFUNCTION("""COMPUTED_VALUE"""),"Flex FPC Reemplazo de Face Id Iphone Xs Max")</f>
        <v>Flex FPC Reemplazo de Face Id Iphone Xs Max</v>
      </c>
      <c r="C1939" s="75">
        <f ca="1">IFERROR(__xludf.DUMMYFUNCTION("""COMPUTED_VALUE"""),70)</f>
        <v>70</v>
      </c>
      <c r="D1939" s="75">
        <f ca="1">IFERROR(__xludf.DUMMYFUNCTION("""COMPUTED_VALUE"""),200)</f>
        <v>200</v>
      </c>
      <c r="E1939" s="76">
        <f ca="1">IFERROR(__xludf.DUMMYFUNCTION("""COMPUTED_VALUE"""),270)</f>
        <v>270</v>
      </c>
      <c r="F1939" s="77">
        <f ca="1">IFERROR(__xludf.DUMMYFUNCTION("""COMPUTED_VALUE"""),10160075)</f>
        <v>10160075</v>
      </c>
      <c r="G1939" s="77" t="str">
        <f t="shared" ca="1" si="7"/>
        <v>si</v>
      </c>
    </row>
    <row r="1940" spans="1:7" ht="12.75" x14ac:dyDescent="0.2">
      <c r="A1940" s="62">
        <f ca="1">IFERROR(__xludf.DUMMYFUNCTION("""COMPUTED_VALUE"""),10160076)</f>
        <v>10160076</v>
      </c>
      <c r="B1940" s="62" t="str">
        <f ca="1">IFERROR(__xludf.DUMMYFUNCTION("""COMPUTED_VALUE"""),"Flex FPC Reemplazo de Face Id Iphone 11")</f>
        <v>Flex FPC Reemplazo de Face Id Iphone 11</v>
      </c>
      <c r="C1940" s="75">
        <f ca="1">IFERROR(__xludf.DUMMYFUNCTION("""COMPUTED_VALUE"""),90)</f>
        <v>90</v>
      </c>
      <c r="D1940" s="75">
        <f ca="1">IFERROR(__xludf.DUMMYFUNCTION("""COMPUTED_VALUE"""),200)</f>
        <v>200</v>
      </c>
      <c r="E1940" s="76">
        <f ca="1">IFERROR(__xludf.DUMMYFUNCTION("""COMPUTED_VALUE"""),290)</f>
        <v>290</v>
      </c>
      <c r="F1940" s="77">
        <f ca="1">IFERROR(__xludf.DUMMYFUNCTION("""COMPUTED_VALUE"""),10160076)</f>
        <v>10160076</v>
      </c>
      <c r="G1940" s="77" t="str">
        <f t="shared" ca="1" si="7"/>
        <v>si</v>
      </c>
    </row>
    <row r="1941" spans="1:7" ht="12.75" x14ac:dyDescent="0.2">
      <c r="A1941" s="62">
        <f ca="1">IFERROR(__xludf.DUMMYFUNCTION("""COMPUTED_VALUE"""),10160077)</f>
        <v>10160077</v>
      </c>
      <c r="B1941" s="62" t="str">
        <f ca="1">IFERROR(__xludf.DUMMYFUNCTION("""COMPUTED_VALUE"""),"Flex FPC Reemplazo de Face Id Iphone 11 Pro")</f>
        <v>Flex FPC Reemplazo de Face Id Iphone 11 Pro</v>
      </c>
      <c r="C1941" s="75">
        <f ca="1">IFERROR(__xludf.DUMMYFUNCTION("""COMPUTED_VALUE"""),90)</f>
        <v>90</v>
      </c>
      <c r="D1941" s="75">
        <f ca="1">IFERROR(__xludf.DUMMYFUNCTION("""COMPUTED_VALUE"""),250)</f>
        <v>250</v>
      </c>
      <c r="E1941" s="76">
        <f ca="1">IFERROR(__xludf.DUMMYFUNCTION("""COMPUTED_VALUE"""),340)</f>
        <v>340</v>
      </c>
      <c r="F1941" s="77">
        <f ca="1">IFERROR(__xludf.DUMMYFUNCTION("""COMPUTED_VALUE"""),10160077)</f>
        <v>10160077</v>
      </c>
      <c r="G1941" s="77" t="str">
        <f t="shared" ca="1" si="7"/>
        <v>si</v>
      </c>
    </row>
    <row r="1942" spans="1:7" ht="12.75" x14ac:dyDescent="0.2">
      <c r="A1942" s="62">
        <f ca="1">IFERROR(__xludf.DUMMYFUNCTION("""COMPUTED_VALUE"""),10160078)</f>
        <v>10160078</v>
      </c>
      <c r="B1942" s="62" t="str">
        <f ca="1">IFERROR(__xludf.DUMMYFUNCTION("""COMPUTED_VALUE"""),"Flex FPC Reemplazo de Face Id Iphone 11 Pro Max")</f>
        <v>Flex FPC Reemplazo de Face Id Iphone 11 Pro Max</v>
      </c>
      <c r="C1942" s="75">
        <f ca="1">IFERROR(__xludf.DUMMYFUNCTION("""COMPUTED_VALUE"""),90)</f>
        <v>90</v>
      </c>
      <c r="D1942" s="75">
        <f ca="1">IFERROR(__xludf.DUMMYFUNCTION("""COMPUTED_VALUE"""),250)</f>
        <v>250</v>
      </c>
      <c r="E1942" s="76">
        <f ca="1">IFERROR(__xludf.DUMMYFUNCTION("""COMPUTED_VALUE"""),340)</f>
        <v>340</v>
      </c>
      <c r="F1942" s="77">
        <f ca="1">IFERROR(__xludf.DUMMYFUNCTION("""COMPUTED_VALUE"""),10160078)</f>
        <v>10160078</v>
      </c>
      <c r="G1942" s="77" t="str">
        <f t="shared" ca="1" si="7"/>
        <v>si</v>
      </c>
    </row>
    <row r="1943" spans="1:7" ht="12.75" x14ac:dyDescent="0.2">
      <c r="A1943" s="62">
        <f ca="1">IFERROR(__xludf.DUMMYFUNCTION("""COMPUTED_VALUE"""),20140339)</f>
        <v>20140339</v>
      </c>
      <c r="B1943" s="62" t="str">
        <f ca="1">IFERROR(__xludf.DUMMYFUNCTION("""COMPUTED_VALUE"""),"Placa Macbook A1466 Año 2015 i5 1.6 8g ")</f>
        <v xml:space="preserve">Placa Macbook A1466 Año 2015 i5 1.6 8g </v>
      </c>
      <c r="C1943" s="75">
        <f ca="1">IFERROR(__xludf.DUMMYFUNCTION("""COMPUTED_VALUE"""),1500)</f>
        <v>1500</v>
      </c>
      <c r="D1943" s="75">
        <f ca="1">IFERROR(__xludf.DUMMYFUNCTION("""COMPUTED_VALUE"""),100)</f>
        <v>100</v>
      </c>
      <c r="E1943" s="76">
        <f ca="1">IFERROR(__xludf.DUMMYFUNCTION("""COMPUTED_VALUE"""),1600)</f>
        <v>1600</v>
      </c>
      <c r="F1943" s="77">
        <f ca="1">IFERROR(__xludf.DUMMYFUNCTION("""COMPUTED_VALUE"""),20140339)</f>
        <v>20140339</v>
      </c>
      <c r="G1943" s="77" t="str">
        <f t="shared" ca="1" si="7"/>
        <v>si</v>
      </c>
    </row>
    <row r="1944" spans="1:7" ht="12.75" x14ac:dyDescent="0.2">
      <c r="A1944" s="62">
        <f ca="1">IFERROR(__xludf.DUMMYFUNCTION("""COMPUTED_VALUE"""),20140340)</f>
        <v>20140340</v>
      </c>
      <c r="B1944" s="62" t="str">
        <f ca="1">IFERROR(__xludf.DUMMYFUNCTION("""COMPUTED_VALUE"""),"Placa Macbook A1466 Año 2017 i7 2.2 8g ")</f>
        <v xml:space="preserve">Placa Macbook A1466 Año 2017 i7 2.2 8g </v>
      </c>
      <c r="C1944" s="75">
        <f ca="1">IFERROR(__xludf.DUMMYFUNCTION("""COMPUTED_VALUE"""),1600)</f>
        <v>1600</v>
      </c>
      <c r="D1944" s="75">
        <f ca="1">IFERROR(__xludf.DUMMYFUNCTION("""COMPUTED_VALUE"""),100)</f>
        <v>100</v>
      </c>
      <c r="E1944" s="76">
        <f ca="1">IFERROR(__xludf.DUMMYFUNCTION("""COMPUTED_VALUE"""),1700)</f>
        <v>1700</v>
      </c>
      <c r="F1944" s="77">
        <f ca="1">IFERROR(__xludf.DUMMYFUNCTION("""COMPUTED_VALUE"""),20140340)</f>
        <v>20140340</v>
      </c>
      <c r="G1944" s="77" t="str">
        <f t="shared" ca="1" si="7"/>
        <v>si</v>
      </c>
    </row>
    <row r="1945" spans="1:7" ht="12.75" x14ac:dyDescent="0.2">
      <c r="A1945" s="62">
        <f ca="1">IFERROR(__xludf.DUMMYFUNCTION("""COMPUTED_VALUE"""),20140341)</f>
        <v>20140341</v>
      </c>
      <c r="B1945" s="62" t="str">
        <f ca="1">IFERROR(__xludf.DUMMYFUNCTION("""COMPUTED_VALUE"""),"Placa Macbook A1990 i7 2018 16gb 256gb")</f>
        <v>Placa Macbook A1990 i7 2018 16gb 256gb</v>
      </c>
      <c r="C1945" s="75">
        <f ca="1">IFERROR(__xludf.DUMMYFUNCTION("""COMPUTED_VALUE"""),3200)</f>
        <v>3200</v>
      </c>
      <c r="D1945" s="75">
        <f ca="1">IFERROR(__xludf.DUMMYFUNCTION("""COMPUTED_VALUE"""),100)</f>
        <v>100</v>
      </c>
      <c r="E1945" s="76">
        <f ca="1">IFERROR(__xludf.DUMMYFUNCTION("""COMPUTED_VALUE"""),3300)</f>
        <v>3300</v>
      </c>
      <c r="F1945" s="77">
        <f ca="1">IFERROR(__xludf.DUMMYFUNCTION("""COMPUTED_VALUE"""),20140341)</f>
        <v>20140341</v>
      </c>
      <c r="G1945" s="77" t="str">
        <f t="shared" ca="1" si="7"/>
        <v>si</v>
      </c>
    </row>
    <row r="1946" spans="1:7" ht="12.75" x14ac:dyDescent="0.2">
      <c r="A1946" s="62">
        <f ca="1">IFERROR(__xludf.DUMMYFUNCTION("""COMPUTED_VALUE"""),20140342)</f>
        <v>20140342</v>
      </c>
      <c r="B1946" s="62" t="str">
        <f ca="1">IFERROR(__xludf.DUMMYFUNCTION("""COMPUTED_VALUE"""),"Placa Macbook A1398 2015 i7 2.5 16gb 256gb")</f>
        <v>Placa Macbook A1398 2015 i7 2.5 16gb 256gb</v>
      </c>
      <c r="C1946" s="75">
        <f ca="1">IFERROR(__xludf.DUMMYFUNCTION("""COMPUTED_VALUE"""),1800)</f>
        <v>1800</v>
      </c>
      <c r="D1946" s="75">
        <f ca="1">IFERROR(__xludf.DUMMYFUNCTION("""COMPUTED_VALUE"""),100)</f>
        <v>100</v>
      </c>
      <c r="E1946" s="76">
        <f ca="1">IFERROR(__xludf.DUMMYFUNCTION("""COMPUTED_VALUE"""),1900)</f>
        <v>1900</v>
      </c>
      <c r="F1946" s="77">
        <f ca="1">IFERROR(__xludf.DUMMYFUNCTION("""COMPUTED_VALUE"""),20140342)</f>
        <v>20140342</v>
      </c>
      <c r="G1946" s="77" t="str">
        <f t="shared" ca="1" si="7"/>
        <v>si</v>
      </c>
    </row>
    <row r="1947" spans="1:7" ht="12.75" x14ac:dyDescent="0.2">
      <c r="A1947" s="62">
        <f ca="1">IFERROR(__xludf.DUMMYFUNCTION("""COMPUTED_VALUE"""),20140343)</f>
        <v>20140343</v>
      </c>
      <c r="B1947" s="62" t="str">
        <f ca="1">IFERROR(__xludf.DUMMYFUNCTION("""COMPUTED_VALUE"""),"Placa Macbook A1706 i7 Año 2017 Core i5 16gb 1TB ")</f>
        <v xml:space="preserve">Placa Macbook A1706 i7 Año 2017 Core i5 16gb 1TB </v>
      </c>
      <c r="C1947" s="75">
        <f ca="1">IFERROR(__xludf.DUMMYFUNCTION("""COMPUTED_VALUE"""),3600)</f>
        <v>3600</v>
      </c>
      <c r="D1947" s="75">
        <f ca="1">IFERROR(__xludf.DUMMYFUNCTION("""COMPUTED_VALUE"""),100)</f>
        <v>100</v>
      </c>
      <c r="E1947" s="76">
        <f ca="1">IFERROR(__xludf.DUMMYFUNCTION("""COMPUTED_VALUE"""),3700)</f>
        <v>3700</v>
      </c>
      <c r="F1947" s="77">
        <f ca="1">IFERROR(__xludf.DUMMYFUNCTION("""COMPUTED_VALUE"""),20140343)</f>
        <v>20140343</v>
      </c>
      <c r="G1947" s="77" t="str">
        <f t="shared" ca="1" si="7"/>
        <v>si</v>
      </c>
    </row>
    <row r="1948" spans="1:7" ht="12.75" x14ac:dyDescent="0.2">
      <c r="A1948" s="62">
        <f ca="1">IFERROR(__xludf.DUMMYFUNCTION("""COMPUTED_VALUE"""),20140344)</f>
        <v>20140344</v>
      </c>
      <c r="B1948" s="62" t="str">
        <f ca="1">IFERROR(__xludf.DUMMYFUNCTION("""COMPUTED_VALUE"""),"Placa Macbook A1706 i7 Año 2017 Core i5 3.1 8gb 256gb")</f>
        <v>Placa Macbook A1706 i7 Año 2017 Core i5 3.1 8gb 256gb</v>
      </c>
      <c r="C1948" s="75">
        <f ca="1">IFERROR(__xludf.DUMMYFUNCTION("""COMPUTED_VALUE"""),2700)</f>
        <v>2700</v>
      </c>
      <c r="D1948" s="75">
        <f ca="1">IFERROR(__xludf.DUMMYFUNCTION("""COMPUTED_VALUE"""),100)</f>
        <v>100</v>
      </c>
      <c r="E1948" s="76">
        <f ca="1">IFERROR(__xludf.DUMMYFUNCTION("""COMPUTED_VALUE"""),2800)</f>
        <v>2800</v>
      </c>
      <c r="F1948" s="77">
        <f ca="1">IFERROR(__xludf.DUMMYFUNCTION("""COMPUTED_VALUE"""),20140344)</f>
        <v>20140344</v>
      </c>
      <c r="G1948" s="77" t="str">
        <f t="shared" ca="1" si="7"/>
        <v>si</v>
      </c>
    </row>
    <row r="1949" spans="1:7" ht="12.75" x14ac:dyDescent="0.2">
      <c r="A1949" s="62">
        <f ca="1">IFERROR(__xludf.DUMMYFUNCTION("""COMPUTED_VALUE"""),20140345)</f>
        <v>20140345</v>
      </c>
      <c r="B1949" s="62" t="str">
        <f ca="1">IFERROR(__xludf.DUMMYFUNCTION("""COMPUTED_VALUE"""),"Placa Macbook A1706 i7 Año 2017 Core i5 3.1 8gb 500gb")</f>
        <v>Placa Macbook A1706 i7 Año 2017 Core i5 3.1 8gb 500gb</v>
      </c>
      <c r="C1949" s="75">
        <f ca="1">IFERROR(__xludf.DUMMYFUNCTION("""COMPUTED_VALUE"""),2900)</f>
        <v>2900</v>
      </c>
      <c r="D1949" s="75">
        <f ca="1">IFERROR(__xludf.DUMMYFUNCTION("""COMPUTED_VALUE"""),100)</f>
        <v>100</v>
      </c>
      <c r="E1949" s="76">
        <f ca="1">IFERROR(__xludf.DUMMYFUNCTION("""COMPUTED_VALUE"""),3000)</f>
        <v>3000</v>
      </c>
      <c r="F1949" s="77">
        <f ca="1">IFERROR(__xludf.DUMMYFUNCTION("""COMPUTED_VALUE"""),20140345)</f>
        <v>20140345</v>
      </c>
      <c r="G1949" s="77" t="str">
        <f t="shared" ca="1" si="7"/>
        <v>si</v>
      </c>
    </row>
    <row r="1950" spans="1:7" ht="12.75" x14ac:dyDescent="0.2">
      <c r="A1950" s="62">
        <f ca="1">IFERROR(__xludf.DUMMYFUNCTION("""COMPUTED_VALUE"""),20140346)</f>
        <v>20140346</v>
      </c>
      <c r="B1950" s="62" t="str">
        <f ca="1">IFERROR(__xludf.DUMMYFUNCTION("""COMPUTED_VALUE"""),"Placa Macbook A1706 i7 Año 2016 Core i5 2.9 8gb 256gb")</f>
        <v>Placa Macbook A1706 i7 Año 2016 Core i5 2.9 8gb 256gb</v>
      </c>
      <c r="C1950" s="75">
        <f ca="1">IFERROR(__xludf.DUMMYFUNCTION("""COMPUTED_VALUE"""),2700)</f>
        <v>2700</v>
      </c>
      <c r="D1950" s="75">
        <f ca="1">IFERROR(__xludf.DUMMYFUNCTION("""COMPUTED_VALUE"""),100)</f>
        <v>100</v>
      </c>
      <c r="E1950" s="76">
        <f ca="1">IFERROR(__xludf.DUMMYFUNCTION("""COMPUTED_VALUE"""),2800)</f>
        <v>2800</v>
      </c>
      <c r="F1950" s="77">
        <f ca="1">IFERROR(__xludf.DUMMYFUNCTION("""COMPUTED_VALUE"""),20140346)</f>
        <v>20140346</v>
      </c>
      <c r="G1950" s="77" t="str">
        <f t="shared" ca="1" si="7"/>
        <v>si</v>
      </c>
    </row>
    <row r="1951" spans="1:7" ht="12.75" x14ac:dyDescent="0.2">
      <c r="A1951" s="62">
        <f ca="1">IFERROR(__xludf.DUMMYFUNCTION("""COMPUTED_VALUE"""),20140347)</f>
        <v>20140347</v>
      </c>
      <c r="B1951" s="62" t="str">
        <f ca="1">IFERROR(__xludf.DUMMYFUNCTION("""COMPUTED_VALUE"""),"Placa Macbook A1706 i7 Año 2016 Core i5 2.9 8gb 500gb")</f>
        <v>Placa Macbook A1706 i7 Año 2016 Core i5 2.9 8gb 500gb</v>
      </c>
      <c r="C1951" s="75">
        <f ca="1">IFERROR(__xludf.DUMMYFUNCTION("""COMPUTED_VALUE"""),2900)</f>
        <v>2900</v>
      </c>
      <c r="D1951" s="75">
        <f ca="1">IFERROR(__xludf.DUMMYFUNCTION("""COMPUTED_VALUE"""),100)</f>
        <v>100</v>
      </c>
      <c r="E1951" s="76">
        <f ca="1">IFERROR(__xludf.DUMMYFUNCTION("""COMPUTED_VALUE"""),3000)</f>
        <v>3000</v>
      </c>
      <c r="F1951" s="77">
        <f ca="1">IFERROR(__xludf.DUMMYFUNCTION("""COMPUTED_VALUE"""),20140347)</f>
        <v>20140347</v>
      </c>
      <c r="G1951" s="77" t="str">
        <f t="shared" ca="1" si="7"/>
        <v>si</v>
      </c>
    </row>
    <row r="1952" spans="1:7" ht="12.75" x14ac:dyDescent="0.2">
      <c r="A1952" s="62">
        <f ca="1">IFERROR(__xludf.DUMMYFUNCTION("""COMPUTED_VALUE"""),20140348)</f>
        <v>20140348</v>
      </c>
      <c r="B1952" s="62" t="str">
        <f ca="1">IFERROR(__xludf.DUMMYFUNCTION("""COMPUTED_VALUE"""),"Placa Macbook A1707 i7  16gb 500gb")</f>
        <v>Placa Macbook A1707 i7  16gb 500gb</v>
      </c>
      <c r="C1952" s="75">
        <f ca="1">IFERROR(__xludf.DUMMYFUNCTION("""COMPUTED_VALUE"""),2800)</f>
        <v>2800</v>
      </c>
      <c r="D1952" s="75">
        <f ca="1">IFERROR(__xludf.DUMMYFUNCTION("""COMPUTED_VALUE"""),100)</f>
        <v>100</v>
      </c>
      <c r="E1952" s="76">
        <f ca="1">IFERROR(__xludf.DUMMYFUNCTION("""COMPUTED_VALUE"""),2900)</f>
        <v>2900</v>
      </c>
      <c r="F1952" s="77">
        <f ca="1">IFERROR(__xludf.DUMMYFUNCTION("""COMPUTED_VALUE"""),20140348)</f>
        <v>20140348</v>
      </c>
      <c r="G1952" s="77" t="str">
        <f t="shared" ca="1" si="7"/>
        <v>si</v>
      </c>
    </row>
    <row r="1953" spans="1:7" ht="12.75" x14ac:dyDescent="0.2">
      <c r="A1953" s="62">
        <f ca="1">IFERROR(__xludf.DUMMYFUNCTION("""COMPUTED_VALUE"""),20140349)</f>
        <v>20140349</v>
      </c>
      <c r="B1953" s="62" t="str">
        <f ca="1">IFERROR(__xludf.DUMMYFUNCTION("""COMPUTED_VALUE"""),"Placa Macbook A1707 i7  16gb 1TB")</f>
        <v>Placa Macbook A1707 i7  16gb 1TB</v>
      </c>
      <c r="C1953" s="75">
        <f ca="1">IFERROR(__xludf.DUMMYFUNCTION("""COMPUTED_VALUE"""),3000)</f>
        <v>3000</v>
      </c>
      <c r="D1953" s="75">
        <f ca="1">IFERROR(__xludf.DUMMYFUNCTION("""COMPUTED_VALUE"""),100)</f>
        <v>100</v>
      </c>
      <c r="E1953" s="76">
        <f ca="1">IFERROR(__xludf.DUMMYFUNCTION("""COMPUTED_VALUE"""),3100)</f>
        <v>3100</v>
      </c>
      <c r="F1953" s="77">
        <f ca="1">IFERROR(__xludf.DUMMYFUNCTION("""COMPUTED_VALUE"""),20140349)</f>
        <v>20140349</v>
      </c>
      <c r="G1953" s="77" t="str">
        <f t="shared" ca="1" si="7"/>
        <v>si</v>
      </c>
    </row>
    <row r="1954" spans="1:7" ht="12.75" x14ac:dyDescent="0.2">
      <c r="A1954" s="62">
        <f ca="1">IFERROR(__xludf.DUMMYFUNCTION("""COMPUTED_VALUE"""),20140350)</f>
        <v>20140350</v>
      </c>
      <c r="B1954" s="62" t="str">
        <f ca="1">IFERROR(__xludf.DUMMYFUNCTION("""COMPUTED_VALUE"""),"Placa Macbook A1708 i5 Core i5 2.0 8gb ")</f>
        <v xml:space="preserve">Placa Macbook A1708 i5 Core i5 2.0 8gb </v>
      </c>
      <c r="C1954" s="75">
        <f ca="1">IFERROR(__xludf.DUMMYFUNCTION("""COMPUTED_VALUE"""),1800)</f>
        <v>1800</v>
      </c>
      <c r="D1954" s="75">
        <f ca="1">IFERROR(__xludf.DUMMYFUNCTION("""COMPUTED_VALUE"""),100)</f>
        <v>100</v>
      </c>
      <c r="E1954" s="76">
        <f ca="1">IFERROR(__xludf.DUMMYFUNCTION("""COMPUTED_VALUE"""),1900)</f>
        <v>1900</v>
      </c>
      <c r="F1954" s="77">
        <f ca="1">IFERROR(__xludf.DUMMYFUNCTION("""COMPUTED_VALUE"""),20140350)</f>
        <v>20140350</v>
      </c>
      <c r="G1954" s="77" t="str">
        <f t="shared" ca="1" si="7"/>
        <v>si</v>
      </c>
    </row>
    <row r="1955" spans="1:7" ht="12.75" x14ac:dyDescent="0.2">
      <c r="A1955" s="62">
        <f ca="1">IFERROR(__xludf.DUMMYFUNCTION("""COMPUTED_VALUE"""),20140351)</f>
        <v>20140351</v>
      </c>
      <c r="B1955" s="62" t="str">
        <f ca="1">IFERROR(__xludf.DUMMYFUNCTION("""COMPUTED_VALUE"""),"Placa Macbook A1708 i5 Core i5 2.3 8gb ")</f>
        <v xml:space="preserve">Placa Macbook A1708 i5 Core i5 2.3 8gb </v>
      </c>
      <c r="C1955" s="75">
        <f ca="1">IFERROR(__xludf.DUMMYFUNCTION("""COMPUTED_VALUE"""),2000)</f>
        <v>2000</v>
      </c>
      <c r="D1955" s="75">
        <f ca="1">IFERROR(__xludf.DUMMYFUNCTION("""COMPUTED_VALUE"""),100)</f>
        <v>100</v>
      </c>
      <c r="E1955" s="76">
        <f ca="1">IFERROR(__xludf.DUMMYFUNCTION("""COMPUTED_VALUE"""),2100)</f>
        <v>2100</v>
      </c>
      <c r="F1955" s="77">
        <f ca="1">IFERROR(__xludf.DUMMYFUNCTION("""COMPUTED_VALUE"""),20140351)</f>
        <v>20140351</v>
      </c>
      <c r="G1955" s="77" t="str">
        <f t="shared" ca="1" si="7"/>
        <v>si</v>
      </c>
    </row>
    <row r="1956" spans="1:7" ht="12.75" x14ac:dyDescent="0.2">
      <c r="A1956" s="62">
        <f ca="1">IFERROR(__xludf.DUMMYFUNCTION("""COMPUTED_VALUE"""),20140352)</f>
        <v>20140352</v>
      </c>
      <c r="B1956" s="62" t="str">
        <f ca="1">IFERROR(__xludf.DUMMYFUNCTION("""COMPUTED_VALUE"""),"Placa Macbook A1932 i5 Año 2018 Core i5 1.6 8gb 256gb")</f>
        <v>Placa Macbook A1932 i5 Año 2018 Core i5 1.6 8gb 256gb</v>
      </c>
      <c r="C1956" s="75">
        <f ca="1">IFERROR(__xludf.DUMMYFUNCTION("""COMPUTED_VALUE"""),2200)</f>
        <v>2200</v>
      </c>
      <c r="D1956" s="75">
        <f ca="1">IFERROR(__xludf.DUMMYFUNCTION("""COMPUTED_VALUE"""),100)</f>
        <v>100</v>
      </c>
      <c r="E1956" s="76">
        <f ca="1">IFERROR(__xludf.DUMMYFUNCTION("""COMPUTED_VALUE"""),2300)</f>
        <v>2300</v>
      </c>
      <c r="F1956" s="77">
        <f ca="1">IFERROR(__xludf.DUMMYFUNCTION("""COMPUTED_VALUE"""),20140352)</f>
        <v>20140352</v>
      </c>
      <c r="G1956" s="77" t="str">
        <f t="shared" ca="1" si="7"/>
        <v>si</v>
      </c>
    </row>
    <row r="1957" spans="1:7" ht="12.75" x14ac:dyDescent="0.2">
      <c r="A1957" s="62">
        <f ca="1">IFERROR(__xludf.DUMMYFUNCTION("""COMPUTED_VALUE"""),20140353)</f>
        <v>20140353</v>
      </c>
      <c r="B1957" s="62" t="str">
        <f ca="1">IFERROR(__xludf.DUMMYFUNCTION("""COMPUTED_VALUE"""),"Placa Macbook A1932 i5 Año 2018 Core i5 1.6 8gb 500gb")</f>
        <v>Placa Macbook A1932 i5 Año 2018 Core i5 1.6 8gb 500gb</v>
      </c>
      <c r="C1957" s="75">
        <f ca="1">IFERROR(__xludf.DUMMYFUNCTION("""COMPUTED_VALUE"""),2500)</f>
        <v>2500</v>
      </c>
      <c r="D1957" s="75">
        <f ca="1">IFERROR(__xludf.DUMMYFUNCTION("""COMPUTED_VALUE"""),100)</f>
        <v>100</v>
      </c>
      <c r="E1957" s="76">
        <f ca="1">IFERROR(__xludf.DUMMYFUNCTION("""COMPUTED_VALUE"""),2600)</f>
        <v>2600</v>
      </c>
      <c r="F1957" s="77">
        <f ca="1">IFERROR(__xludf.DUMMYFUNCTION("""COMPUTED_VALUE"""),20140353)</f>
        <v>20140353</v>
      </c>
      <c r="G1957" s="77" t="str">
        <f t="shared" ca="1" si="7"/>
        <v>si</v>
      </c>
    </row>
    <row r="1958" spans="1:7" ht="12.75" x14ac:dyDescent="0.2">
      <c r="A1958" s="62">
        <f ca="1">IFERROR(__xludf.DUMMYFUNCTION("""COMPUTED_VALUE"""),20140354)</f>
        <v>20140354</v>
      </c>
      <c r="B1958" s="62" t="str">
        <f ca="1">IFERROR(__xludf.DUMMYFUNCTION("""COMPUTED_VALUE"""),"Placa Macbook A1932 i5 Año 2019 Core i5 1.6 8gb 256gb ")</f>
        <v xml:space="preserve">Placa Macbook A1932 i5 Año 2019 Core i5 1.6 8gb 256gb </v>
      </c>
      <c r="C1958" s="75">
        <f ca="1">IFERROR(__xludf.DUMMYFUNCTION("""COMPUTED_VALUE"""),2300)</f>
        <v>2300</v>
      </c>
      <c r="D1958" s="75">
        <f ca="1">IFERROR(__xludf.DUMMYFUNCTION("""COMPUTED_VALUE"""),100)</f>
        <v>100</v>
      </c>
      <c r="E1958" s="76">
        <f ca="1">IFERROR(__xludf.DUMMYFUNCTION("""COMPUTED_VALUE"""),2400)</f>
        <v>2400</v>
      </c>
      <c r="F1958" s="77">
        <f ca="1">IFERROR(__xludf.DUMMYFUNCTION("""COMPUTED_VALUE"""),20140354)</f>
        <v>20140354</v>
      </c>
      <c r="G1958" s="77" t="str">
        <f t="shared" ca="1" si="7"/>
        <v>si</v>
      </c>
    </row>
    <row r="1959" spans="1:7" ht="12.75" x14ac:dyDescent="0.2">
      <c r="A1959" s="62">
        <f ca="1">IFERROR(__xludf.DUMMYFUNCTION("""COMPUTED_VALUE"""),20140355)</f>
        <v>20140355</v>
      </c>
      <c r="B1959" s="62" t="str">
        <f ca="1">IFERROR(__xludf.DUMMYFUNCTION("""COMPUTED_VALUE"""),"Placa Macbook A1932 i5 Año 2019 Core i5 1.6 8gb 500gb")</f>
        <v>Placa Macbook A1932 i5 Año 2019 Core i5 1.6 8gb 500gb</v>
      </c>
      <c r="C1959" s="75">
        <f ca="1">IFERROR(__xludf.DUMMYFUNCTION("""COMPUTED_VALUE"""),2500)</f>
        <v>2500</v>
      </c>
      <c r="D1959" s="75">
        <f ca="1">IFERROR(__xludf.DUMMYFUNCTION("""COMPUTED_VALUE"""),100)</f>
        <v>100</v>
      </c>
      <c r="E1959" s="76">
        <f ca="1">IFERROR(__xludf.DUMMYFUNCTION("""COMPUTED_VALUE"""),2600)</f>
        <v>2600</v>
      </c>
      <c r="F1959" s="77">
        <f ca="1">IFERROR(__xludf.DUMMYFUNCTION("""COMPUTED_VALUE"""),20140355)</f>
        <v>20140355</v>
      </c>
      <c r="G1959" s="77" t="str">
        <f t="shared" ca="1" si="7"/>
        <v>si</v>
      </c>
    </row>
    <row r="1960" spans="1:7" ht="12.75" x14ac:dyDescent="0.2">
      <c r="A1960" s="62">
        <f ca="1">IFERROR(__xludf.DUMMYFUNCTION("""COMPUTED_VALUE"""),20140356)</f>
        <v>20140356</v>
      </c>
      <c r="B1960" s="62" t="str">
        <f ca="1">IFERROR(__xludf.DUMMYFUNCTION("""COMPUTED_VALUE"""),"Placa Macbook A1989 Año 2019  i7 2.8  16gb 1TB")</f>
        <v>Placa Macbook A1989 Año 2019  i7 2.8  16gb 1TB</v>
      </c>
      <c r="C1960" s="75">
        <f ca="1">IFERROR(__xludf.DUMMYFUNCTION("""COMPUTED_VALUE"""),3900)</f>
        <v>3900</v>
      </c>
      <c r="D1960" s="75">
        <f ca="1">IFERROR(__xludf.DUMMYFUNCTION("""COMPUTED_VALUE"""),100)</f>
        <v>100</v>
      </c>
      <c r="E1960" s="76">
        <f ca="1">IFERROR(__xludf.DUMMYFUNCTION("""COMPUTED_VALUE"""),4000)</f>
        <v>4000</v>
      </c>
      <c r="F1960" s="77">
        <f ca="1">IFERROR(__xludf.DUMMYFUNCTION("""COMPUTED_VALUE"""),20140356)</f>
        <v>20140356</v>
      </c>
      <c r="G1960" s="77" t="str">
        <f t="shared" ca="1" si="7"/>
        <v>si</v>
      </c>
    </row>
    <row r="1961" spans="1:7" ht="12.75" x14ac:dyDescent="0.2">
      <c r="A1961" s="62">
        <f ca="1">IFERROR(__xludf.DUMMYFUNCTION("""COMPUTED_VALUE"""),20140357)</f>
        <v>20140357</v>
      </c>
      <c r="B1961" s="62" t="str">
        <f ca="1">IFERROR(__xludf.DUMMYFUNCTION("""COMPUTED_VALUE"""),"Placa Macbook A1989 Año 2019  i5 2.4  8gb 500gb")</f>
        <v>Placa Macbook A1989 Año 2019  i5 2.4  8gb 500gb</v>
      </c>
      <c r="C1961" s="75">
        <f ca="1">IFERROR(__xludf.DUMMYFUNCTION("""COMPUTED_VALUE"""),3100)</f>
        <v>3100</v>
      </c>
      <c r="D1961" s="75">
        <f ca="1">IFERROR(__xludf.DUMMYFUNCTION("""COMPUTED_VALUE"""),100)</f>
        <v>100</v>
      </c>
      <c r="E1961" s="76">
        <f ca="1">IFERROR(__xludf.DUMMYFUNCTION("""COMPUTED_VALUE"""),3200)</f>
        <v>3200</v>
      </c>
      <c r="F1961" s="77">
        <f ca="1">IFERROR(__xludf.DUMMYFUNCTION("""COMPUTED_VALUE"""),20140357)</f>
        <v>20140357</v>
      </c>
      <c r="G1961" s="77" t="str">
        <f t="shared" ca="1" si="7"/>
        <v>si</v>
      </c>
    </row>
    <row r="1962" spans="1:7" ht="12.75" x14ac:dyDescent="0.2">
      <c r="A1962" s="62">
        <f ca="1">IFERROR(__xludf.DUMMYFUNCTION("""COMPUTED_VALUE"""),20140358)</f>
        <v>20140358</v>
      </c>
      <c r="B1962" s="62" t="str">
        <f ca="1">IFERROR(__xludf.DUMMYFUNCTION("""COMPUTED_VALUE"""),"Placa Macbook A1989 Año 2018  i5 2.3  8gb 500gb")</f>
        <v>Placa Macbook A1989 Año 2018  i5 2.3  8gb 500gb</v>
      </c>
      <c r="C1962" s="75">
        <f ca="1">IFERROR(__xludf.DUMMYFUNCTION("""COMPUTED_VALUE"""),3100)</f>
        <v>3100</v>
      </c>
      <c r="D1962" s="75">
        <f ca="1">IFERROR(__xludf.DUMMYFUNCTION("""COMPUTED_VALUE"""),100)</f>
        <v>100</v>
      </c>
      <c r="E1962" s="76">
        <f ca="1">IFERROR(__xludf.DUMMYFUNCTION("""COMPUTED_VALUE"""),3200)</f>
        <v>3200</v>
      </c>
      <c r="F1962" s="77">
        <f ca="1">IFERROR(__xludf.DUMMYFUNCTION("""COMPUTED_VALUE"""),20140358)</f>
        <v>20140358</v>
      </c>
      <c r="G1962" s="77" t="str">
        <f t="shared" ca="1" si="7"/>
        <v>si</v>
      </c>
    </row>
    <row r="1963" spans="1:7" ht="12.75" x14ac:dyDescent="0.2">
      <c r="A1963" s="62">
        <f ca="1">IFERROR(__xludf.DUMMYFUNCTION("""COMPUTED_VALUE"""),20140359)</f>
        <v>20140359</v>
      </c>
      <c r="B1963" s="62" t="str">
        <f ca="1">IFERROR(__xludf.DUMMYFUNCTION("""COMPUTED_VALUE"""),"Placa Macbook A1990 Año 2019 i9  32gb 1TB")</f>
        <v>Placa Macbook A1990 Año 2019 i9  32gb 1TB</v>
      </c>
      <c r="C1963" s="75">
        <f ca="1">IFERROR(__xludf.DUMMYFUNCTION("""COMPUTED_VALUE"""),4200)</f>
        <v>4200</v>
      </c>
      <c r="D1963" s="75">
        <f ca="1">IFERROR(__xludf.DUMMYFUNCTION("""COMPUTED_VALUE"""),100)</f>
        <v>100</v>
      </c>
      <c r="E1963" s="76">
        <f ca="1">IFERROR(__xludf.DUMMYFUNCTION("""COMPUTED_VALUE"""),4300)</f>
        <v>4300</v>
      </c>
      <c r="F1963" s="77">
        <f ca="1">IFERROR(__xludf.DUMMYFUNCTION("""COMPUTED_VALUE"""),20140359)</f>
        <v>20140359</v>
      </c>
      <c r="G1963" s="77" t="str">
        <f t="shared" ca="1" si="7"/>
        <v>si</v>
      </c>
    </row>
    <row r="1964" spans="1:7" ht="12.75" x14ac:dyDescent="0.2">
      <c r="A1964" s="62">
        <f ca="1">IFERROR(__xludf.DUMMYFUNCTION("""COMPUTED_VALUE"""),20140360)</f>
        <v>20140360</v>
      </c>
      <c r="B1964" s="62" t="str">
        <f ca="1">IFERROR(__xludf.DUMMYFUNCTION("""COMPUTED_VALUE"""),"Placa Macbook A1990 Año 2019 i9  32gb 2TB")</f>
        <v>Placa Macbook A1990 Año 2019 i9  32gb 2TB</v>
      </c>
      <c r="C1964" s="75">
        <f ca="1">IFERROR(__xludf.DUMMYFUNCTION("""COMPUTED_VALUE"""),5500)</f>
        <v>5500</v>
      </c>
      <c r="D1964" s="75">
        <f ca="1">IFERROR(__xludf.DUMMYFUNCTION("""COMPUTED_VALUE"""),100)</f>
        <v>100</v>
      </c>
      <c r="E1964" s="76">
        <f ca="1">IFERROR(__xludf.DUMMYFUNCTION("""COMPUTED_VALUE"""),5600)</f>
        <v>5600</v>
      </c>
      <c r="F1964" s="77">
        <f ca="1">IFERROR(__xludf.DUMMYFUNCTION("""COMPUTED_VALUE"""),20140360)</f>
        <v>20140360</v>
      </c>
      <c r="G1964" s="77" t="str">
        <f t="shared" ca="1" si="7"/>
        <v>si</v>
      </c>
    </row>
    <row r="1965" spans="1:7" ht="12.75" x14ac:dyDescent="0.2">
      <c r="A1965" s="62">
        <f ca="1">IFERROR(__xludf.DUMMYFUNCTION("""COMPUTED_VALUE"""),20140361)</f>
        <v>20140361</v>
      </c>
      <c r="B1965" s="62" t="str">
        <f ca="1">IFERROR(__xludf.DUMMYFUNCTION("""COMPUTED_VALUE"""),"Placa Macbook A1990 Año 2019 i7 16gb 500gb")</f>
        <v>Placa Macbook A1990 Año 2019 i7 16gb 500gb</v>
      </c>
      <c r="C1965" s="75">
        <f ca="1">IFERROR(__xludf.DUMMYFUNCTION("""COMPUTED_VALUE"""),3300)</f>
        <v>3300</v>
      </c>
      <c r="D1965" s="75">
        <f ca="1">IFERROR(__xludf.DUMMYFUNCTION("""COMPUTED_VALUE"""),100)</f>
        <v>100</v>
      </c>
      <c r="E1965" s="76">
        <f ca="1">IFERROR(__xludf.DUMMYFUNCTION("""COMPUTED_VALUE"""),3400)</f>
        <v>3400</v>
      </c>
      <c r="F1965" s="77">
        <f ca="1">IFERROR(__xludf.DUMMYFUNCTION("""COMPUTED_VALUE"""),20140361)</f>
        <v>20140361</v>
      </c>
      <c r="G1965" s="77" t="str">
        <f t="shared" ca="1" si="7"/>
        <v>si</v>
      </c>
    </row>
    <row r="1966" spans="1:7" ht="12.75" x14ac:dyDescent="0.2">
      <c r="A1966" s="62">
        <f ca="1">IFERROR(__xludf.DUMMYFUNCTION("""COMPUTED_VALUE"""),20140334)</f>
        <v>20140334</v>
      </c>
      <c r="B1966" s="62" t="str">
        <f ca="1">IFERROR(__xludf.DUMMYFUNCTION("""COMPUTED_VALUE"""),"Placa Macbook A1990 Año 2018 i7 16gb 500gb")</f>
        <v>Placa Macbook A1990 Año 2018 i7 16gb 500gb</v>
      </c>
      <c r="C1966" s="75">
        <f ca="1">IFERROR(__xludf.DUMMYFUNCTION("""COMPUTED_VALUE"""),3300)</f>
        <v>3300</v>
      </c>
      <c r="D1966" s="75">
        <f ca="1">IFERROR(__xludf.DUMMYFUNCTION("""COMPUTED_VALUE"""),100)</f>
        <v>100</v>
      </c>
      <c r="E1966" s="76">
        <f ca="1">IFERROR(__xludf.DUMMYFUNCTION("""COMPUTED_VALUE"""),3400)</f>
        <v>3400</v>
      </c>
      <c r="F1966" s="77">
        <f ca="1">IFERROR(__xludf.DUMMYFUNCTION("""COMPUTED_VALUE"""),20140334)</f>
        <v>20140334</v>
      </c>
      <c r="G1966" s="77" t="str">
        <f t="shared" ca="1" si="7"/>
        <v>si</v>
      </c>
    </row>
    <row r="1967" spans="1:7" ht="12.75" x14ac:dyDescent="0.2">
      <c r="A1967" s="62">
        <f ca="1">IFERROR(__xludf.DUMMYFUNCTION("""COMPUTED_VALUE"""),20140362)</f>
        <v>20140362</v>
      </c>
      <c r="B1967" s="62" t="str">
        <f ca="1">IFERROR(__xludf.DUMMYFUNCTION("""COMPUTED_VALUE"""),"Placa Macbook A2141 i7 2.6  16gb 500gb")</f>
        <v>Placa Macbook A2141 i7 2.6  16gb 500gb</v>
      </c>
      <c r="C1967" s="75">
        <f ca="1">IFERROR(__xludf.DUMMYFUNCTION("""COMPUTED_VALUE"""),4700)</f>
        <v>4700</v>
      </c>
      <c r="D1967" s="75">
        <f ca="1">IFERROR(__xludf.DUMMYFUNCTION("""COMPUTED_VALUE"""),100)</f>
        <v>100</v>
      </c>
      <c r="E1967" s="76">
        <f ca="1">IFERROR(__xludf.DUMMYFUNCTION("""COMPUTED_VALUE"""),4800)</f>
        <v>4800</v>
      </c>
      <c r="F1967" s="77">
        <f ca="1">IFERROR(__xludf.DUMMYFUNCTION("""COMPUTED_VALUE"""),20140362)</f>
        <v>20140362</v>
      </c>
      <c r="G1967" s="77" t="str">
        <f t="shared" ca="1" si="7"/>
        <v>si</v>
      </c>
    </row>
    <row r="1968" spans="1:7" ht="12.75" x14ac:dyDescent="0.2">
      <c r="A1968" s="62">
        <f ca="1">IFERROR(__xludf.DUMMYFUNCTION("""COMPUTED_VALUE"""),20140363)</f>
        <v>20140363</v>
      </c>
      <c r="B1968" s="62" t="str">
        <f ca="1">IFERROR(__xludf.DUMMYFUNCTION("""COMPUTED_VALUE"""),"Placa Macbook A2141 i9 2.3 16gb 1TB")</f>
        <v>Placa Macbook A2141 i9 2.3 16gb 1TB</v>
      </c>
      <c r="C1968" s="75">
        <f ca="1">IFERROR(__xludf.DUMMYFUNCTION("""COMPUTED_VALUE"""),5400)</f>
        <v>5400</v>
      </c>
      <c r="D1968" s="75">
        <f ca="1">IFERROR(__xludf.DUMMYFUNCTION("""COMPUTED_VALUE"""),100)</f>
        <v>100</v>
      </c>
      <c r="E1968" s="76">
        <f ca="1">IFERROR(__xludf.DUMMYFUNCTION("""COMPUTED_VALUE"""),5500)</f>
        <v>5500</v>
      </c>
      <c r="F1968" s="77">
        <f ca="1">IFERROR(__xludf.DUMMYFUNCTION("""COMPUTED_VALUE"""),20140363)</f>
        <v>20140363</v>
      </c>
      <c r="G1968" s="77" t="str">
        <f t="shared" ca="1" si="7"/>
        <v>si</v>
      </c>
    </row>
    <row r="1969" spans="1:7" ht="12.75" x14ac:dyDescent="0.2">
      <c r="A1969" s="62">
        <f ca="1">IFERROR(__xludf.DUMMYFUNCTION("""COMPUTED_VALUE"""),20140364)</f>
        <v>20140364</v>
      </c>
      <c r="B1969" s="62" t="str">
        <f ca="1">IFERROR(__xludf.DUMMYFUNCTION("""COMPUTED_VALUE"""),"Placa Macbook A2159  i5  1.4 16gb 256gb")</f>
        <v>Placa Macbook A2159  i5  1.4 16gb 256gb</v>
      </c>
      <c r="C1969" s="75">
        <f ca="1">IFERROR(__xludf.DUMMYFUNCTION("""COMPUTED_VALUE"""),3300)</f>
        <v>3300</v>
      </c>
      <c r="D1969" s="75">
        <f ca="1">IFERROR(__xludf.DUMMYFUNCTION("""COMPUTED_VALUE"""),100)</f>
        <v>100</v>
      </c>
      <c r="E1969" s="76">
        <f ca="1">IFERROR(__xludf.DUMMYFUNCTION("""COMPUTED_VALUE"""),3400)</f>
        <v>3400</v>
      </c>
      <c r="F1969" s="77">
        <f ca="1">IFERROR(__xludf.DUMMYFUNCTION("""COMPUTED_VALUE"""),20140364)</f>
        <v>20140364</v>
      </c>
      <c r="G1969" s="77" t="str">
        <f t="shared" ca="1" si="7"/>
        <v>si</v>
      </c>
    </row>
    <row r="1970" spans="1:7" ht="12.75" x14ac:dyDescent="0.2">
      <c r="A1970" s="62">
        <f ca="1">IFERROR(__xludf.DUMMYFUNCTION("""COMPUTED_VALUE"""),20140365)</f>
        <v>20140365</v>
      </c>
      <c r="B1970" s="62" t="str">
        <f ca="1">IFERROR(__xludf.DUMMYFUNCTION("""COMPUTED_VALUE"""),"Placa Macbook A2159  i5  1.4 8gb 500gb")</f>
        <v>Placa Macbook A2159  i5  1.4 8gb 500gb</v>
      </c>
      <c r="C1970" s="75">
        <f ca="1">IFERROR(__xludf.DUMMYFUNCTION("""COMPUTED_VALUE"""),3400)</f>
        <v>3400</v>
      </c>
      <c r="D1970" s="75">
        <f ca="1">IFERROR(__xludf.DUMMYFUNCTION("""COMPUTED_VALUE"""),100)</f>
        <v>100</v>
      </c>
      <c r="E1970" s="76">
        <f ca="1">IFERROR(__xludf.DUMMYFUNCTION("""COMPUTED_VALUE"""),3500)</f>
        <v>3500</v>
      </c>
      <c r="F1970" s="77">
        <f ca="1">IFERROR(__xludf.DUMMYFUNCTION("""COMPUTED_VALUE"""),20140365)</f>
        <v>20140365</v>
      </c>
      <c r="G1970" s="77" t="str">
        <f t="shared" ca="1" si="7"/>
        <v>si</v>
      </c>
    </row>
    <row r="1971" spans="1:7" ht="12.75" x14ac:dyDescent="0.2">
      <c r="A1971" s="62">
        <f ca="1">IFERROR(__xludf.DUMMYFUNCTION("""COMPUTED_VALUE"""),20140366)</f>
        <v>20140366</v>
      </c>
      <c r="B1971" s="62" t="str">
        <f ca="1">IFERROR(__xludf.DUMMYFUNCTION("""COMPUTED_VALUE"""),"Placa Macbook A2289  i5  1.4 16gb 256gb")</f>
        <v>Placa Macbook A2289  i5  1.4 16gb 256gb</v>
      </c>
      <c r="C1971" s="75">
        <f ca="1">IFERROR(__xludf.DUMMYFUNCTION("""COMPUTED_VALUE"""),3400)</f>
        <v>3400</v>
      </c>
      <c r="D1971" s="75">
        <f ca="1">IFERROR(__xludf.DUMMYFUNCTION("""COMPUTED_VALUE"""),100)</f>
        <v>100</v>
      </c>
      <c r="E1971" s="76">
        <f ca="1">IFERROR(__xludf.DUMMYFUNCTION("""COMPUTED_VALUE"""),3500)</f>
        <v>3500</v>
      </c>
      <c r="F1971" s="77">
        <f ca="1">IFERROR(__xludf.DUMMYFUNCTION("""COMPUTED_VALUE"""),20140366)</f>
        <v>20140366</v>
      </c>
      <c r="G1971" s="77" t="str">
        <f t="shared" ca="1" si="7"/>
        <v>si</v>
      </c>
    </row>
    <row r="1972" spans="1:7" ht="12.75" x14ac:dyDescent="0.2">
      <c r="A1972" s="62">
        <f ca="1">IFERROR(__xludf.DUMMYFUNCTION("""COMPUTED_VALUE"""),20140367)</f>
        <v>20140367</v>
      </c>
      <c r="B1972" s="62" t="str">
        <f ca="1">IFERROR(__xludf.DUMMYFUNCTION("""COMPUTED_VALUE"""),"Placa Macbook A2289  i5  1.4 8gb 500gb")</f>
        <v>Placa Macbook A2289  i5  1.4 8gb 500gb</v>
      </c>
      <c r="C1972" s="75">
        <f ca="1">IFERROR(__xludf.DUMMYFUNCTION("""COMPUTED_VALUE"""),3700)</f>
        <v>3700</v>
      </c>
      <c r="D1972" s="75">
        <f ca="1">IFERROR(__xludf.DUMMYFUNCTION("""COMPUTED_VALUE"""),100)</f>
        <v>100</v>
      </c>
      <c r="E1972" s="76">
        <f ca="1">IFERROR(__xludf.DUMMYFUNCTION("""COMPUTED_VALUE"""),3800)</f>
        <v>3800</v>
      </c>
      <c r="F1972" s="77">
        <f ca="1">IFERROR(__xludf.DUMMYFUNCTION("""COMPUTED_VALUE"""),20140367)</f>
        <v>20140367</v>
      </c>
      <c r="G1972" s="77" t="str">
        <f t="shared" ca="1" si="7"/>
        <v>si</v>
      </c>
    </row>
    <row r="1973" spans="1:7" ht="12.75" x14ac:dyDescent="0.2">
      <c r="A1973" s="62">
        <f ca="1">IFERROR(__xludf.DUMMYFUNCTION("""COMPUTED_VALUE"""),20140368)</f>
        <v>20140368</v>
      </c>
      <c r="B1973" s="62" t="str">
        <f ca="1">IFERROR(__xludf.DUMMYFUNCTION("""COMPUTED_VALUE"""),"Placa Macbook A2179  i3  1.1 8gb 500gb")</f>
        <v>Placa Macbook A2179  i3  1.1 8gb 500gb</v>
      </c>
      <c r="C1973" s="75">
        <f ca="1">IFERROR(__xludf.DUMMYFUNCTION("""COMPUTED_VALUE"""),2700)</f>
        <v>2700</v>
      </c>
      <c r="D1973" s="75">
        <f ca="1">IFERROR(__xludf.DUMMYFUNCTION("""COMPUTED_VALUE"""),100)</f>
        <v>100</v>
      </c>
      <c r="E1973" s="76">
        <f ca="1">IFERROR(__xludf.DUMMYFUNCTION("""COMPUTED_VALUE"""),2800)</f>
        <v>2800</v>
      </c>
      <c r="F1973" s="77">
        <f ca="1">IFERROR(__xludf.DUMMYFUNCTION("""COMPUTED_VALUE"""),20140368)</f>
        <v>20140368</v>
      </c>
      <c r="G1973" s="77" t="str">
        <f t="shared" ca="1" si="7"/>
        <v>si</v>
      </c>
    </row>
    <row r="1974" spans="1:7" ht="12.75" x14ac:dyDescent="0.2">
      <c r="A1974" s="62">
        <f ca="1">IFERROR(__xludf.DUMMYFUNCTION("""COMPUTED_VALUE"""),20140369)</f>
        <v>20140369</v>
      </c>
      <c r="B1974" s="62" t="str">
        <f ca="1">IFERROR(__xludf.DUMMYFUNCTION("""COMPUTED_VALUE"""),"Placa Macbook A2179  i5  1.2 8gb 256gb")</f>
        <v>Placa Macbook A2179  i5  1.2 8gb 256gb</v>
      </c>
      <c r="C1974" s="75">
        <f ca="1">IFERROR(__xludf.DUMMYFUNCTION("""COMPUTED_VALUE"""),2600)</f>
        <v>2600</v>
      </c>
      <c r="D1974" s="75">
        <f ca="1">IFERROR(__xludf.DUMMYFUNCTION("""COMPUTED_VALUE"""),100)</f>
        <v>100</v>
      </c>
      <c r="E1974" s="76">
        <f ca="1">IFERROR(__xludf.DUMMYFUNCTION("""COMPUTED_VALUE"""),2700)</f>
        <v>2700</v>
      </c>
      <c r="F1974" s="77">
        <f ca="1">IFERROR(__xludf.DUMMYFUNCTION("""COMPUTED_VALUE"""),20140369)</f>
        <v>20140369</v>
      </c>
      <c r="G1974" s="77" t="str">
        <f t="shared" ca="1" si="7"/>
        <v>si</v>
      </c>
    </row>
    <row r="1975" spans="1:7" ht="12.75" x14ac:dyDescent="0.2">
      <c r="A1975" s="62">
        <f ca="1">IFERROR(__xludf.DUMMYFUNCTION("""COMPUTED_VALUE"""),20140370)</f>
        <v>20140370</v>
      </c>
      <c r="B1975" s="62" t="str">
        <f ca="1">IFERROR(__xludf.DUMMYFUNCTION("""COMPUTED_VALUE"""),"Placa Macbook A2179  i5  1.2 8gb 500gb")</f>
        <v>Placa Macbook A2179  i5  1.2 8gb 500gb</v>
      </c>
      <c r="C1975" s="75">
        <f ca="1">IFERROR(__xludf.DUMMYFUNCTION("""COMPUTED_VALUE"""),2900)</f>
        <v>2900</v>
      </c>
      <c r="D1975" s="75">
        <f ca="1">IFERROR(__xludf.DUMMYFUNCTION("""COMPUTED_VALUE"""),100)</f>
        <v>100</v>
      </c>
      <c r="E1975" s="76">
        <f ca="1">IFERROR(__xludf.DUMMYFUNCTION("""COMPUTED_VALUE"""),3000)</f>
        <v>3000</v>
      </c>
      <c r="F1975" s="77">
        <f ca="1">IFERROR(__xludf.DUMMYFUNCTION("""COMPUTED_VALUE"""),20140370)</f>
        <v>20140370</v>
      </c>
      <c r="G1975" s="77" t="str">
        <f t="shared" ca="1" si="7"/>
        <v>si</v>
      </c>
    </row>
    <row r="1976" spans="1:7" ht="12.75" x14ac:dyDescent="0.2">
      <c r="A1976" s="62">
        <f ca="1">IFERROR(__xludf.DUMMYFUNCTION("""COMPUTED_VALUE"""),20140371)</f>
        <v>20140371</v>
      </c>
      <c r="B1976" s="62" t="str">
        <f ca="1">IFERROR(__xludf.DUMMYFUNCTION("""COMPUTED_VALUE"""),"Placa Macbook A2337  M1 8gb 500gb")</f>
        <v>Placa Macbook A2337  M1 8gb 500gb</v>
      </c>
      <c r="C1976" s="75">
        <f ca="1">IFERROR(__xludf.DUMMYFUNCTION("""COMPUTED_VALUE"""),3300)</f>
        <v>3300</v>
      </c>
      <c r="D1976" s="75">
        <f ca="1">IFERROR(__xludf.DUMMYFUNCTION("""COMPUTED_VALUE"""),100)</f>
        <v>100</v>
      </c>
      <c r="E1976" s="76">
        <f ca="1">IFERROR(__xludf.DUMMYFUNCTION("""COMPUTED_VALUE"""),3400)</f>
        <v>3400</v>
      </c>
      <c r="F1976" s="77">
        <f ca="1">IFERROR(__xludf.DUMMYFUNCTION("""COMPUTED_VALUE"""),20140371)</f>
        <v>20140371</v>
      </c>
      <c r="G1976" s="77" t="str">
        <f t="shared" ca="1" si="7"/>
        <v>si</v>
      </c>
    </row>
    <row r="1977" spans="1:7" ht="12.75" x14ac:dyDescent="0.2">
      <c r="A1977" s="62">
        <f ca="1">IFERROR(__xludf.DUMMYFUNCTION("""COMPUTED_VALUE"""),20140372)</f>
        <v>20140372</v>
      </c>
      <c r="B1977" s="62" t="str">
        <f ca="1">IFERROR(__xludf.DUMMYFUNCTION("""COMPUTED_VALUE"""),"Placa Macbook A2337  M1 16gb 500gb")</f>
        <v>Placa Macbook A2337  M1 16gb 500gb</v>
      </c>
      <c r="C1977" s="75">
        <f ca="1">IFERROR(__xludf.DUMMYFUNCTION("""COMPUTED_VALUE"""),4000)</f>
        <v>4000</v>
      </c>
      <c r="D1977" s="75">
        <f ca="1">IFERROR(__xludf.DUMMYFUNCTION("""COMPUTED_VALUE"""),100)</f>
        <v>100</v>
      </c>
      <c r="E1977" s="76">
        <f ca="1">IFERROR(__xludf.DUMMYFUNCTION("""COMPUTED_VALUE"""),4100)</f>
        <v>4100</v>
      </c>
      <c r="F1977" s="77">
        <f ca="1">IFERROR(__xludf.DUMMYFUNCTION("""COMPUTED_VALUE"""),20140372)</f>
        <v>20140372</v>
      </c>
      <c r="G1977" s="77" t="str">
        <f t="shared" ca="1" si="7"/>
        <v>si</v>
      </c>
    </row>
    <row r="1978" spans="1:7" ht="12.75" x14ac:dyDescent="0.2">
      <c r="A1978" s="62">
        <f ca="1">IFERROR(__xludf.DUMMYFUNCTION("""COMPUTED_VALUE"""),20140373)</f>
        <v>20140373</v>
      </c>
      <c r="B1978" s="62" t="str">
        <f ca="1">IFERROR(__xludf.DUMMYFUNCTION("""COMPUTED_VALUE"""),"Placa Macbook A2337  M1 16gb 1TB")</f>
        <v>Placa Macbook A2337  M1 16gb 1TB</v>
      </c>
      <c r="C1978" s="75">
        <f ca="1">IFERROR(__xludf.DUMMYFUNCTION("""COMPUTED_VALUE"""),4700)</f>
        <v>4700</v>
      </c>
      <c r="D1978" s="75">
        <f ca="1">IFERROR(__xludf.DUMMYFUNCTION("""COMPUTED_VALUE"""),100)</f>
        <v>100</v>
      </c>
      <c r="E1978" s="76">
        <f ca="1">IFERROR(__xludf.DUMMYFUNCTION("""COMPUTED_VALUE"""),4800)</f>
        <v>4800</v>
      </c>
      <c r="F1978" s="77">
        <f ca="1">IFERROR(__xludf.DUMMYFUNCTION("""COMPUTED_VALUE"""),20140373)</f>
        <v>20140373</v>
      </c>
      <c r="G1978" s="77" t="str">
        <f t="shared" ca="1" si="7"/>
        <v>si</v>
      </c>
    </row>
    <row r="1979" spans="1:7" ht="12.75" x14ac:dyDescent="0.2">
      <c r="A1979" s="62">
        <f ca="1">IFERROR(__xludf.DUMMYFUNCTION("""COMPUTED_VALUE"""),20140374)</f>
        <v>20140374</v>
      </c>
      <c r="B1979" s="62" t="str">
        <f ca="1">IFERROR(__xludf.DUMMYFUNCTION("""COMPUTED_VALUE"""),"Placa Macbook A2338  M1 8gb 500gb")</f>
        <v>Placa Macbook A2338  M1 8gb 500gb</v>
      </c>
      <c r="C1979" s="75">
        <f ca="1">IFERROR(__xludf.DUMMYFUNCTION("""COMPUTED_VALUE"""),4500)</f>
        <v>4500</v>
      </c>
      <c r="D1979" s="75">
        <f ca="1">IFERROR(__xludf.DUMMYFUNCTION("""COMPUTED_VALUE"""),100)</f>
        <v>100</v>
      </c>
      <c r="E1979" s="76">
        <f ca="1">IFERROR(__xludf.DUMMYFUNCTION("""COMPUTED_VALUE"""),4600)</f>
        <v>4600</v>
      </c>
      <c r="F1979" s="77">
        <f ca="1">IFERROR(__xludf.DUMMYFUNCTION("""COMPUTED_VALUE"""),20140374)</f>
        <v>20140374</v>
      </c>
      <c r="G1979" s="77" t="str">
        <f t="shared" ca="1" si="7"/>
        <v>si</v>
      </c>
    </row>
    <row r="1980" spans="1:7" ht="12.75" x14ac:dyDescent="0.2">
      <c r="A1980" s="62">
        <f ca="1">IFERROR(__xludf.DUMMYFUNCTION("""COMPUTED_VALUE"""),20140375)</f>
        <v>20140375</v>
      </c>
      <c r="B1980" s="62" t="str">
        <f ca="1">IFERROR(__xludf.DUMMYFUNCTION("""COMPUTED_VALUE"""),"Placa Macbook A2338  M1 16gb 500gb")</f>
        <v>Placa Macbook A2338  M1 16gb 500gb</v>
      </c>
      <c r="C1980" s="75">
        <f ca="1">IFERROR(__xludf.DUMMYFUNCTION("""COMPUTED_VALUE"""),5500)</f>
        <v>5500</v>
      </c>
      <c r="D1980" s="75">
        <f ca="1">IFERROR(__xludf.DUMMYFUNCTION("""COMPUTED_VALUE"""),100)</f>
        <v>100</v>
      </c>
      <c r="E1980" s="76">
        <f ca="1">IFERROR(__xludf.DUMMYFUNCTION("""COMPUTED_VALUE"""),5600)</f>
        <v>5600</v>
      </c>
      <c r="F1980" s="77">
        <f ca="1">IFERROR(__xludf.DUMMYFUNCTION("""COMPUTED_VALUE"""),20140375)</f>
        <v>20140375</v>
      </c>
      <c r="G1980" s="77" t="str">
        <f t="shared" ca="1" si="7"/>
        <v>si</v>
      </c>
    </row>
    <row r="1981" spans="1:7" ht="12.75" x14ac:dyDescent="0.2">
      <c r="A1981" s="62">
        <f ca="1">IFERROR(__xludf.DUMMYFUNCTION("""COMPUTED_VALUE"""),20140376)</f>
        <v>20140376</v>
      </c>
      <c r="B1981" s="62" t="str">
        <f ca="1">IFERROR(__xludf.DUMMYFUNCTION("""COMPUTED_VALUE"""),"Placa Macbook A2338  M1 16gb 1TB")</f>
        <v>Placa Macbook A2338  M1 16gb 1TB</v>
      </c>
      <c r="C1981" s="75">
        <f ca="1">IFERROR(__xludf.DUMMYFUNCTION("""COMPUTED_VALUE"""),5600)</f>
        <v>5600</v>
      </c>
      <c r="D1981" s="75">
        <f ca="1">IFERROR(__xludf.DUMMYFUNCTION("""COMPUTED_VALUE"""),100)</f>
        <v>100</v>
      </c>
      <c r="E1981" s="76">
        <f ca="1">IFERROR(__xludf.DUMMYFUNCTION("""COMPUTED_VALUE"""),5700)</f>
        <v>5700</v>
      </c>
      <c r="F1981" s="77">
        <f ca="1">IFERROR(__xludf.DUMMYFUNCTION("""COMPUTED_VALUE"""),20140376)</f>
        <v>20140376</v>
      </c>
      <c r="G1981" s="77" t="str">
        <f t="shared" ca="1" si="7"/>
        <v>si</v>
      </c>
    </row>
    <row r="1982" spans="1:7" ht="12.75" x14ac:dyDescent="0.2">
      <c r="A1982" s="62">
        <f ca="1">IFERROR(__xludf.DUMMYFUNCTION("""COMPUTED_VALUE"""),10100035)</f>
        <v>10100035</v>
      </c>
      <c r="B1982" s="62" t="str">
        <f ca="1">IFERROR(__xludf.DUMMYFUNCTION("""COMPUTED_VALUE"""),"Placas Iphone X 256gb")</f>
        <v>Placas Iphone X 256gb</v>
      </c>
      <c r="C1982" s="75">
        <f ca="1">IFERROR(__xludf.DUMMYFUNCTION("""COMPUTED_VALUE"""),790)</f>
        <v>790</v>
      </c>
      <c r="D1982" s="75">
        <f ca="1">IFERROR(__xludf.DUMMYFUNCTION("""COMPUTED_VALUE"""),50)</f>
        <v>50</v>
      </c>
      <c r="E1982" s="76">
        <f ca="1">IFERROR(__xludf.DUMMYFUNCTION("""COMPUTED_VALUE"""),840)</f>
        <v>840</v>
      </c>
      <c r="F1982" s="77">
        <f ca="1">IFERROR(__xludf.DUMMYFUNCTION("""COMPUTED_VALUE"""),10100035)</f>
        <v>10100035</v>
      </c>
      <c r="G1982" s="77" t="str">
        <f t="shared" ca="1" si="7"/>
        <v>si</v>
      </c>
    </row>
    <row r="1983" spans="1:7" ht="12.75" x14ac:dyDescent="0.2">
      <c r="A1983" s="62">
        <f ca="1">IFERROR(__xludf.DUMMYFUNCTION("""COMPUTED_VALUE"""),10100036)</f>
        <v>10100036</v>
      </c>
      <c r="B1983" s="62" t="str">
        <f ca="1">IFERROR(__xludf.DUMMYFUNCTION("""COMPUTED_VALUE"""),"Placas Iphone XS 512gb")</f>
        <v>Placas Iphone XS 512gb</v>
      </c>
      <c r="C1983" s="75">
        <f ca="1">IFERROR(__xludf.DUMMYFUNCTION("""COMPUTED_VALUE"""),890)</f>
        <v>890</v>
      </c>
      <c r="D1983" s="75">
        <f ca="1">IFERROR(__xludf.DUMMYFUNCTION("""COMPUTED_VALUE"""),50)</f>
        <v>50</v>
      </c>
      <c r="E1983" s="76">
        <f ca="1">IFERROR(__xludf.DUMMYFUNCTION("""COMPUTED_VALUE"""),940)</f>
        <v>940</v>
      </c>
      <c r="F1983" s="77">
        <f ca="1">IFERROR(__xludf.DUMMYFUNCTION("""COMPUTED_VALUE"""),10100036)</f>
        <v>10100036</v>
      </c>
      <c r="G1983" s="77" t="str">
        <f t="shared" ca="1" si="7"/>
        <v>si</v>
      </c>
    </row>
    <row r="1984" spans="1:7" ht="12.75" x14ac:dyDescent="0.2">
      <c r="A1984" s="62">
        <f ca="1">IFERROR(__xludf.DUMMYFUNCTION("""COMPUTED_VALUE"""),10100037)</f>
        <v>10100037</v>
      </c>
      <c r="B1984" s="62" t="str">
        <f ca="1">IFERROR(__xludf.DUMMYFUNCTION("""COMPUTED_VALUE"""),"Placas Iphone XR 256gb")</f>
        <v>Placas Iphone XR 256gb</v>
      </c>
      <c r="C1984" s="75">
        <f ca="1">IFERROR(__xludf.DUMMYFUNCTION("""COMPUTED_VALUE"""),790)</f>
        <v>790</v>
      </c>
      <c r="D1984" s="75">
        <f ca="1">IFERROR(__xludf.DUMMYFUNCTION("""COMPUTED_VALUE"""),50)</f>
        <v>50</v>
      </c>
      <c r="E1984" s="76">
        <f ca="1">IFERROR(__xludf.DUMMYFUNCTION("""COMPUTED_VALUE"""),840)</f>
        <v>840</v>
      </c>
      <c r="F1984" s="77">
        <f ca="1">IFERROR(__xludf.DUMMYFUNCTION("""COMPUTED_VALUE"""),10100037)</f>
        <v>10100037</v>
      </c>
      <c r="G1984" s="77" t="str">
        <f t="shared" ca="1" si="7"/>
        <v>si</v>
      </c>
    </row>
    <row r="1985" spans="1:7" ht="12.75" x14ac:dyDescent="0.2">
      <c r="A1985" s="62">
        <f ca="1">IFERROR(__xludf.DUMMYFUNCTION("""COMPUTED_VALUE"""),10100038)</f>
        <v>10100038</v>
      </c>
      <c r="B1985" s="62" t="str">
        <f ca="1">IFERROR(__xludf.DUMMYFUNCTION("""COMPUTED_VALUE"""),"Placas Iphone 11 256gb")</f>
        <v>Placas Iphone 11 256gb</v>
      </c>
      <c r="C1985" s="75">
        <f ca="1">IFERROR(__xludf.DUMMYFUNCTION("""COMPUTED_VALUE"""),1090)</f>
        <v>1090</v>
      </c>
      <c r="D1985" s="75">
        <f ca="1">IFERROR(__xludf.DUMMYFUNCTION("""COMPUTED_VALUE"""),50)</f>
        <v>50</v>
      </c>
      <c r="E1985" s="76">
        <f ca="1">IFERROR(__xludf.DUMMYFUNCTION("""COMPUTED_VALUE"""),1140)</f>
        <v>1140</v>
      </c>
      <c r="F1985" s="77">
        <f ca="1">IFERROR(__xludf.DUMMYFUNCTION("""COMPUTED_VALUE"""),10100038)</f>
        <v>10100038</v>
      </c>
      <c r="G1985" s="77" t="str">
        <f t="shared" ca="1" si="7"/>
        <v>si</v>
      </c>
    </row>
    <row r="1986" spans="1:7" ht="12.75" x14ac:dyDescent="0.2">
      <c r="A1986" s="62">
        <f ca="1">IFERROR(__xludf.DUMMYFUNCTION("""COMPUTED_VALUE"""),10100039)</f>
        <v>10100039</v>
      </c>
      <c r="B1986" s="62" t="str">
        <f ca="1">IFERROR(__xludf.DUMMYFUNCTION("""COMPUTED_VALUE"""),"Placas Iphone 11 Pro 256gb")</f>
        <v>Placas Iphone 11 Pro 256gb</v>
      </c>
      <c r="C1986" s="75">
        <f ca="1">IFERROR(__xludf.DUMMYFUNCTION("""COMPUTED_VALUE"""),1190)</f>
        <v>1190</v>
      </c>
      <c r="D1986" s="75">
        <f ca="1">IFERROR(__xludf.DUMMYFUNCTION("""COMPUTED_VALUE"""),50)</f>
        <v>50</v>
      </c>
      <c r="E1986" s="76">
        <f ca="1">IFERROR(__xludf.DUMMYFUNCTION("""COMPUTED_VALUE"""),1240)</f>
        <v>1240</v>
      </c>
      <c r="F1986" s="77">
        <f ca="1">IFERROR(__xludf.DUMMYFUNCTION("""COMPUTED_VALUE"""),10100039)</f>
        <v>10100039</v>
      </c>
      <c r="G1986" s="77" t="str">
        <f t="shared" ca="1" si="7"/>
        <v>si</v>
      </c>
    </row>
    <row r="1987" spans="1:7" ht="12.75" x14ac:dyDescent="0.2">
      <c r="A1987" s="62">
        <f ca="1">IFERROR(__xludf.DUMMYFUNCTION("""COMPUTED_VALUE"""),10100040)</f>
        <v>10100040</v>
      </c>
      <c r="B1987" s="62" t="str">
        <f ca="1">IFERROR(__xludf.DUMMYFUNCTION("""COMPUTED_VALUE"""),"Placas Iphone 11 Pro Max 512gb")</f>
        <v>Placas Iphone 11 Pro Max 512gb</v>
      </c>
      <c r="C1987" s="75">
        <f ca="1">IFERROR(__xludf.DUMMYFUNCTION("""COMPUTED_VALUE"""),1290)</f>
        <v>1290</v>
      </c>
      <c r="D1987" s="75">
        <f ca="1">IFERROR(__xludf.DUMMYFUNCTION("""COMPUTED_VALUE"""),50)</f>
        <v>50</v>
      </c>
      <c r="E1987" s="76">
        <f ca="1">IFERROR(__xludf.DUMMYFUNCTION("""COMPUTED_VALUE"""),1340)</f>
        <v>1340</v>
      </c>
      <c r="F1987" s="77">
        <f ca="1">IFERROR(__xludf.DUMMYFUNCTION("""COMPUTED_VALUE"""),10100040)</f>
        <v>10100040</v>
      </c>
      <c r="G1987" s="77" t="str">
        <f t="shared" ca="1" si="7"/>
        <v>si</v>
      </c>
    </row>
    <row r="1988" spans="1:7" ht="12.75" x14ac:dyDescent="0.2">
      <c r="A1988" s="62">
        <f ca="1">IFERROR(__xludf.DUMMYFUNCTION("""COMPUTED_VALUE"""),10100041)</f>
        <v>10100041</v>
      </c>
      <c r="B1988" s="62" t="str">
        <f ca="1">IFERROR(__xludf.DUMMYFUNCTION("""COMPUTED_VALUE"""),"Placas Iphone 12 128gb")</f>
        <v>Placas Iphone 12 128gb</v>
      </c>
      <c r="C1988" s="75">
        <f ca="1">IFERROR(__xludf.DUMMYFUNCTION("""COMPUTED_VALUE"""),1490)</f>
        <v>1490</v>
      </c>
      <c r="D1988" s="75">
        <f ca="1">IFERROR(__xludf.DUMMYFUNCTION("""COMPUTED_VALUE"""),50)</f>
        <v>50</v>
      </c>
      <c r="E1988" s="76">
        <f ca="1">IFERROR(__xludf.DUMMYFUNCTION("""COMPUTED_VALUE"""),1540)</f>
        <v>1540</v>
      </c>
      <c r="F1988" s="77">
        <f ca="1">IFERROR(__xludf.DUMMYFUNCTION("""COMPUTED_VALUE"""),10100041)</f>
        <v>10100041</v>
      </c>
      <c r="G1988" s="77" t="str">
        <f t="shared" ca="1" si="7"/>
        <v>si</v>
      </c>
    </row>
    <row r="1989" spans="1:7" ht="12.75" x14ac:dyDescent="0.2">
      <c r="A1989" s="62">
        <f ca="1">IFERROR(__xludf.DUMMYFUNCTION("""COMPUTED_VALUE"""),10100042)</f>
        <v>10100042</v>
      </c>
      <c r="B1989" s="62" t="str">
        <f ca="1">IFERROR(__xludf.DUMMYFUNCTION("""COMPUTED_VALUE"""),"Placas Iphone 12 Mini 128gb")</f>
        <v>Placas Iphone 12 Mini 128gb</v>
      </c>
      <c r="C1989" s="75">
        <f ca="1">IFERROR(__xludf.DUMMYFUNCTION("""COMPUTED_VALUE"""),1090)</f>
        <v>1090</v>
      </c>
      <c r="D1989" s="75">
        <f ca="1">IFERROR(__xludf.DUMMYFUNCTION("""COMPUTED_VALUE"""),50)</f>
        <v>50</v>
      </c>
      <c r="E1989" s="76">
        <f ca="1">IFERROR(__xludf.DUMMYFUNCTION("""COMPUTED_VALUE"""),1140)</f>
        <v>1140</v>
      </c>
      <c r="F1989" s="77">
        <f ca="1">IFERROR(__xludf.DUMMYFUNCTION("""COMPUTED_VALUE"""),10100042)</f>
        <v>10100042</v>
      </c>
      <c r="G1989" s="77" t="str">
        <f t="shared" ca="1" si="7"/>
        <v>si</v>
      </c>
    </row>
    <row r="1990" spans="1:7" ht="12.75" x14ac:dyDescent="0.2">
      <c r="A1990" s="62">
        <f ca="1">IFERROR(__xludf.DUMMYFUNCTION("""COMPUTED_VALUE"""),10100043)</f>
        <v>10100043</v>
      </c>
      <c r="B1990" s="62" t="str">
        <f ca="1">IFERROR(__xludf.DUMMYFUNCTION("""COMPUTED_VALUE"""),"Placas Iphone 12 Pro 256gb")</f>
        <v>Placas Iphone 12 Pro 256gb</v>
      </c>
      <c r="C1990" s="75">
        <f ca="1">IFERROR(__xludf.DUMMYFUNCTION("""COMPUTED_VALUE"""),1890)</f>
        <v>1890</v>
      </c>
      <c r="D1990" s="75">
        <f ca="1">IFERROR(__xludf.DUMMYFUNCTION("""COMPUTED_VALUE"""),50)</f>
        <v>50</v>
      </c>
      <c r="E1990" s="76">
        <f ca="1">IFERROR(__xludf.DUMMYFUNCTION("""COMPUTED_VALUE"""),1940)</f>
        <v>1940</v>
      </c>
      <c r="F1990" s="77">
        <f ca="1">IFERROR(__xludf.DUMMYFUNCTION("""COMPUTED_VALUE"""),10100043)</f>
        <v>10100043</v>
      </c>
      <c r="G1990" s="77" t="str">
        <f t="shared" ca="1" si="7"/>
        <v>si</v>
      </c>
    </row>
    <row r="1991" spans="1:7" ht="12.75" x14ac:dyDescent="0.2">
      <c r="A1991" s="62">
        <f ca="1">IFERROR(__xludf.DUMMYFUNCTION("""COMPUTED_VALUE"""),10100044)</f>
        <v>10100044</v>
      </c>
      <c r="B1991" s="62" t="str">
        <f ca="1">IFERROR(__xludf.DUMMYFUNCTION("""COMPUTED_VALUE"""),"Placas Iphone 12 Pro Max 512gb")</f>
        <v>Placas Iphone 12 Pro Max 512gb</v>
      </c>
      <c r="C1991" s="75">
        <f ca="1">IFERROR(__xludf.DUMMYFUNCTION("""COMPUTED_VALUE"""),1990)</f>
        <v>1990</v>
      </c>
      <c r="D1991" s="75">
        <f ca="1">IFERROR(__xludf.DUMMYFUNCTION("""COMPUTED_VALUE"""),50)</f>
        <v>50</v>
      </c>
      <c r="E1991" s="76">
        <f ca="1">IFERROR(__xludf.DUMMYFUNCTION("""COMPUTED_VALUE"""),2040)</f>
        <v>2040</v>
      </c>
      <c r="F1991" s="77">
        <f ca="1">IFERROR(__xludf.DUMMYFUNCTION("""COMPUTED_VALUE"""),10100044)</f>
        <v>10100044</v>
      </c>
      <c r="G1991" s="77" t="str">
        <f t="shared" ca="1" si="7"/>
        <v>si</v>
      </c>
    </row>
    <row r="1992" spans="1:7" ht="12.75" x14ac:dyDescent="0.2">
      <c r="A1992" s="62">
        <f ca="1">IFERROR(__xludf.DUMMYFUNCTION("""COMPUTED_VALUE"""),10100045)</f>
        <v>10100045</v>
      </c>
      <c r="B1992" s="62" t="str">
        <f ca="1">IFERROR(__xludf.DUMMYFUNCTION("""COMPUTED_VALUE"""),"Placas Iphone 13 128gb")</f>
        <v>Placas Iphone 13 128gb</v>
      </c>
      <c r="C1992" s="75">
        <f ca="1">IFERROR(__xludf.DUMMYFUNCTION("""COMPUTED_VALUE"""),1890)</f>
        <v>1890</v>
      </c>
      <c r="D1992" s="75">
        <f ca="1">IFERROR(__xludf.DUMMYFUNCTION("""COMPUTED_VALUE"""),50)</f>
        <v>50</v>
      </c>
      <c r="E1992" s="76">
        <f ca="1">IFERROR(__xludf.DUMMYFUNCTION("""COMPUTED_VALUE"""),1940)</f>
        <v>1940</v>
      </c>
      <c r="F1992" s="77">
        <f ca="1">IFERROR(__xludf.DUMMYFUNCTION("""COMPUTED_VALUE"""),10100045)</f>
        <v>10100045</v>
      </c>
      <c r="G1992" s="77" t="str">
        <f t="shared" ca="1" si="7"/>
        <v>si</v>
      </c>
    </row>
    <row r="1993" spans="1:7" ht="12.75" x14ac:dyDescent="0.2">
      <c r="A1993" s="62">
        <f ca="1">IFERROR(__xludf.DUMMYFUNCTION("""COMPUTED_VALUE"""),10100046)</f>
        <v>10100046</v>
      </c>
      <c r="B1993" s="62" t="str">
        <f ca="1">IFERROR(__xludf.DUMMYFUNCTION("""COMPUTED_VALUE"""),"Placas Iphone 13 Pro 256gb")</f>
        <v>Placas Iphone 13 Pro 256gb</v>
      </c>
      <c r="C1993" s="75">
        <f ca="1">IFERROR(__xludf.DUMMYFUNCTION("""COMPUTED_VALUE"""),2490)</f>
        <v>2490</v>
      </c>
      <c r="D1993" s="75">
        <f ca="1">IFERROR(__xludf.DUMMYFUNCTION("""COMPUTED_VALUE"""),50)</f>
        <v>50</v>
      </c>
      <c r="E1993" s="76">
        <f ca="1">IFERROR(__xludf.DUMMYFUNCTION("""COMPUTED_VALUE"""),2540)</f>
        <v>2540</v>
      </c>
      <c r="F1993" s="77">
        <f ca="1">IFERROR(__xludf.DUMMYFUNCTION("""COMPUTED_VALUE"""),10100046)</f>
        <v>10100046</v>
      </c>
      <c r="G1993" s="77" t="str">
        <f t="shared" ca="1" si="7"/>
        <v>si</v>
      </c>
    </row>
    <row r="1994" spans="1:7" ht="12.75" x14ac:dyDescent="0.2">
      <c r="A1994" s="62">
        <f ca="1">IFERROR(__xludf.DUMMYFUNCTION("""COMPUTED_VALUE"""),10100047)</f>
        <v>10100047</v>
      </c>
      <c r="B1994" s="62" t="str">
        <f ca="1">IFERROR(__xludf.DUMMYFUNCTION("""COMPUTED_VALUE"""),"Placas Iphone 13 Pro Max 512gb")</f>
        <v>Placas Iphone 13 Pro Max 512gb</v>
      </c>
      <c r="C1994" s="75">
        <f ca="1">IFERROR(__xludf.DUMMYFUNCTION("""COMPUTED_VALUE"""),2490)</f>
        <v>2490</v>
      </c>
      <c r="D1994" s="75">
        <f ca="1">IFERROR(__xludf.DUMMYFUNCTION("""COMPUTED_VALUE"""),50)</f>
        <v>50</v>
      </c>
      <c r="E1994" s="76">
        <f ca="1">IFERROR(__xludf.DUMMYFUNCTION("""COMPUTED_VALUE"""),2540)</f>
        <v>2540</v>
      </c>
      <c r="F1994" s="77">
        <f ca="1">IFERROR(__xludf.DUMMYFUNCTION("""COMPUTED_VALUE"""),10100047)</f>
        <v>10100047</v>
      </c>
      <c r="G1994" s="77" t="str">
        <f t="shared" ca="1" si="7"/>
        <v>si</v>
      </c>
    </row>
    <row r="1995" spans="1:7" ht="12.75" x14ac:dyDescent="0.2">
      <c r="A1995" s="62">
        <f ca="1">IFERROR(__xludf.DUMMYFUNCTION("""COMPUTED_VALUE"""),20140253)</f>
        <v>20140253</v>
      </c>
      <c r="B1995" s="62" t="str">
        <f ca="1">IFERROR(__xludf.DUMMYFUNCTION("""COMPUTED_VALUE"""),"Audio Jack Macbook A2337")</f>
        <v>Audio Jack Macbook A2337</v>
      </c>
      <c r="C1995" s="75">
        <f ca="1">IFERROR(__xludf.DUMMYFUNCTION("""COMPUTED_VALUE"""),400)</f>
        <v>400</v>
      </c>
      <c r="D1995" s="75">
        <f ca="1">IFERROR(__xludf.DUMMYFUNCTION("""COMPUTED_VALUE"""),100)</f>
        <v>100</v>
      </c>
      <c r="E1995" s="76">
        <f ca="1">IFERROR(__xludf.DUMMYFUNCTION("""COMPUTED_VALUE"""),500)</f>
        <v>500</v>
      </c>
      <c r="F1995" s="77">
        <f ca="1">IFERROR(__xludf.DUMMYFUNCTION("""COMPUTED_VALUE"""),20140253)</f>
        <v>20140253</v>
      </c>
      <c r="G1995" s="77" t="str">
        <f t="shared" ca="1" si="7"/>
        <v>si</v>
      </c>
    </row>
    <row r="1996" spans="1:7" ht="12.75" x14ac:dyDescent="0.2">
      <c r="A1996" s="62">
        <f ca="1">IFERROR(__xludf.DUMMYFUNCTION("""COMPUTED_VALUE"""),20140252)</f>
        <v>20140252</v>
      </c>
      <c r="B1996" s="62" t="str">
        <f ca="1">IFERROR(__xludf.DUMMYFUNCTION("""COMPUTED_VALUE"""),"Audio Jack Macbook A2289 / A2338 (2020-2021)")</f>
        <v>Audio Jack Macbook A2289 / A2338 (2020-2021)</v>
      </c>
      <c r="C1996" s="75">
        <f ca="1">IFERROR(__xludf.DUMMYFUNCTION("""COMPUTED_VALUE"""),350)</f>
        <v>350</v>
      </c>
      <c r="D1996" s="75">
        <f ca="1">IFERROR(__xludf.DUMMYFUNCTION("""COMPUTED_VALUE"""),100)</f>
        <v>100</v>
      </c>
      <c r="E1996" s="76">
        <f ca="1">IFERROR(__xludf.DUMMYFUNCTION("""COMPUTED_VALUE"""),450)</f>
        <v>450</v>
      </c>
      <c r="F1996" s="77">
        <f ca="1">IFERROR(__xludf.DUMMYFUNCTION("""COMPUTED_VALUE"""),20140252)</f>
        <v>20140252</v>
      </c>
      <c r="G1996" s="77" t="str">
        <f t="shared" ca="1" si="7"/>
        <v>si</v>
      </c>
    </row>
    <row r="1997" spans="1:7" ht="12.75" x14ac:dyDescent="0.2">
      <c r="A1997" s="62">
        <f ca="1">IFERROR(__xludf.DUMMYFUNCTION("""COMPUTED_VALUE"""),20140251)</f>
        <v>20140251</v>
      </c>
      <c r="B1997" s="62" t="str">
        <f ca="1">IFERROR(__xludf.DUMMYFUNCTION("""COMPUTED_VALUE"""),"Audio Jack Macbook A2179")</f>
        <v>Audio Jack Macbook A2179</v>
      </c>
      <c r="C1997" s="75">
        <f ca="1">IFERROR(__xludf.DUMMYFUNCTION("""COMPUTED_VALUE"""),400)</f>
        <v>400</v>
      </c>
      <c r="D1997" s="75">
        <f ca="1">IFERROR(__xludf.DUMMYFUNCTION("""COMPUTED_VALUE"""),100)</f>
        <v>100</v>
      </c>
      <c r="E1997" s="76">
        <f ca="1">IFERROR(__xludf.DUMMYFUNCTION("""COMPUTED_VALUE"""),500)</f>
        <v>500</v>
      </c>
      <c r="F1997" s="77">
        <f ca="1">IFERROR(__xludf.DUMMYFUNCTION("""COMPUTED_VALUE"""),20140251)</f>
        <v>20140251</v>
      </c>
      <c r="G1997" s="77" t="str">
        <f t="shared" ca="1" si="7"/>
        <v>si</v>
      </c>
    </row>
    <row r="1998" spans="1:7" ht="12.75" x14ac:dyDescent="0.2">
      <c r="A1998" s="62">
        <f ca="1">IFERROR(__xludf.DUMMYFUNCTION("""COMPUTED_VALUE"""),20140250)</f>
        <v>20140250</v>
      </c>
      <c r="B1998" s="62" t="str">
        <f ca="1">IFERROR(__xludf.DUMMYFUNCTION("""COMPUTED_VALUE"""),"Audio Jack Macbook A1932")</f>
        <v>Audio Jack Macbook A1932</v>
      </c>
      <c r="C1998" s="75">
        <f ca="1">IFERROR(__xludf.DUMMYFUNCTION("""COMPUTED_VALUE"""),400)</f>
        <v>400</v>
      </c>
      <c r="D1998" s="75">
        <f ca="1">IFERROR(__xludf.DUMMYFUNCTION("""COMPUTED_VALUE"""),100)</f>
        <v>100</v>
      </c>
      <c r="E1998" s="76">
        <f ca="1">IFERROR(__xludf.DUMMYFUNCTION("""COMPUTED_VALUE"""),500)</f>
        <v>500</v>
      </c>
      <c r="F1998" s="77">
        <f ca="1">IFERROR(__xludf.DUMMYFUNCTION("""COMPUTED_VALUE"""),20140250)</f>
        <v>20140250</v>
      </c>
      <c r="G1998" s="77" t="str">
        <f t="shared" ca="1" si="7"/>
        <v>si</v>
      </c>
    </row>
    <row r="1999" spans="1:7" ht="12.75" x14ac:dyDescent="0.2">
      <c r="A1999" s="62">
        <f ca="1">IFERROR(__xludf.DUMMYFUNCTION("""COMPUTED_VALUE"""),20140248)</f>
        <v>20140248</v>
      </c>
      <c r="B1999" s="62" t="str">
        <f ca="1">IFERROR(__xludf.DUMMYFUNCTION("""COMPUTED_VALUE"""),"Audio Jack Macbook A2159")</f>
        <v>Audio Jack Macbook A2159</v>
      </c>
      <c r="C1999" s="75">
        <f ca="1">IFERROR(__xludf.DUMMYFUNCTION("""COMPUTED_VALUE"""),350)</f>
        <v>350</v>
      </c>
      <c r="D1999" s="75">
        <f ca="1">IFERROR(__xludf.DUMMYFUNCTION("""COMPUTED_VALUE"""),100)</f>
        <v>100</v>
      </c>
      <c r="E1999" s="76">
        <f ca="1">IFERROR(__xludf.DUMMYFUNCTION("""COMPUTED_VALUE"""),450)</f>
        <v>450</v>
      </c>
      <c r="F1999" s="77">
        <f ca="1">IFERROR(__xludf.DUMMYFUNCTION("""COMPUTED_VALUE"""),20140248)</f>
        <v>20140248</v>
      </c>
      <c r="G1999" s="77" t="str">
        <f t="shared" ca="1" si="7"/>
        <v>si</v>
      </c>
    </row>
    <row r="2000" spans="1:7" ht="12.75" x14ac:dyDescent="0.2">
      <c r="A2000" s="62">
        <f ca="1">IFERROR(__xludf.DUMMYFUNCTION("""COMPUTED_VALUE"""),20140213)</f>
        <v>20140213</v>
      </c>
      <c r="B2000" s="62" t="str">
        <f ca="1">IFERROR(__xludf.DUMMYFUNCTION("""COMPUTED_VALUE"""),"Audio Jack Macbook A1989")</f>
        <v>Audio Jack Macbook A1989</v>
      </c>
      <c r="C2000" s="75">
        <f ca="1">IFERROR(__xludf.DUMMYFUNCTION("""COMPUTED_VALUE"""),0)</f>
        <v>0</v>
      </c>
      <c r="D2000" s="75">
        <f ca="1">IFERROR(__xludf.DUMMYFUNCTION("""COMPUTED_VALUE"""),0)</f>
        <v>0</v>
      </c>
      <c r="E2000" s="76">
        <f ca="1">IFERROR(__xludf.DUMMYFUNCTION("""COMPUTED_VALUE"""),0)</f>
        <v>0</v>
      </c>
      <c r="F2000" s="77">
        <f ca="1">IFERROR(__xludf.DUMMYFUNCTION("""COMPUTED_VALUE"""),20140213)</f>
        <v>20140213</v>
      </c>
      <c r="G2000" s="77" t="str">
        <f t="shared" ca="1" si="7"/>
        <v>si</v>
      </c>
    </row>
    <row r="2001" spans="1:7" ht="12.75" x14ac:dyDescent="0.2">
      <c r="A2001" s="62">
        <f ca="1">IFERROR(__xludf.DUMMYFUNCTION("""COMPUTED_VALUE"""),20140212)</f>
        <v>20140212</v>
      </c>
      <c r="B2001" s="62" t="str">
        <f ca="1">IFERROR(__xludf.DUMMYFUNCTION("""COMPUTED_VALUE"""),"Audio Jack Macbook A1706")</f>
        <v>Audio Jack Macbook A1706</v>
      </c>
      <c r="C2001" s="75">
        <f ca="1">IFERROR(__xludf.DUMMYFUNCTION("""COMPUTED_VALUE"""),0)</f>
        <v>0</v>
      </c>
      <c r="D2001" s="75">
        <f ca="1">IFERROR(__xludf.DUMMYFUNCTION("""COMPUTED_VALUE"""),0)</f>
        <v>0</v>
      </c>
      <c r="E2001" s="76">
        <f ca="1">IFERROR(__xludf.DUMMYFUNCTION("""COMPUTED_VALUE"""),0)</f>
        <v>0</v>
      </c>
      <c r="F2001" s="77">
        <f ca="1">IFERROR(__xludf.DUMMYFUNCTION("""COMPUTED_VALUE"""),20140212)</f>
        <v>20140212</v>
      </c>
      <c r="G2001" s="77" t="str">
        <f t="shared" ca="1" si="7"/>
        <v>si</v>
      </c>
    </row>
    <row r="2002" spans="1:7" ht="12.75" x14ac:dyDescent="0.2">
      <c r="A2002" s="62">
        <f ca="1">IFERROR(__xludf.DUMMYFUNCTION("""COMPUTED_VALUE"""),20140211)</f>
        <v>20140211</v>
      </c>
      <c r="B2002" s="62" t="str">
        <f ca="1">IFERROR(__xludf.DUMMYFUNCTION("""COMPUTED_VALUE"""),"Audio Jack Macbook A1708")</f>
        <v>Audio Jack Macbook A1708</v>
      </c>
      <c r="C2002" s="75">
        <f ca="1">IFERROR(__xludf.DUMMYFUNCTION("""COMPUTED_VALUE"""),350)</f>
        <v>350</v>
      </c>
      <c r="D2002" s="75">
        <f ca="1">IFERROR(__xludf.DUMMYFUNCTION("""COMPUTED_VALUE"""),100)</f>
        <v>100</v>
      </c>
      <c r="E2002" s="76">
        <f ca="1">IFERROR(__xludf.DUMMYFUNCTION("""COMPUTED_VALUE"""),450)</f>
        <v>450</v>
      </c>
      <c r="F2002" s="77">
        <f ca="1">IFERROR(__xludf.DUMMYFUNCTION("""COMPUTED_VALUE"""),20140211)</f>
        <v>20140211</v>
      </c>
      <c r="G2002" s="77" t="str">
        <f t="shared" ca="1" si="7"/>
        <v>si</v>
      </c>
    </row>
    <row r="2003" spans="1:7" ht="12.75" x14ac:dyDescent="0.2">
      <c r="A2003" s="62">
        <f ca="1">IFERROR(__xludf.DUMMYFUNCTION("""COMPUTED_VALUE"""),20140210)</f>
        <v>20140210</v>
      </c>
      <c r="B2003" s="62" t="str">
        <f ca="1">IFERROR(__xludf.DUMMYFUNCTION("""COMPUTED_VALUE"""),"Audio Jack Macbook A1707")</f>
        <v>Audio Jack Macbook A1707</v>
      </c>
      <c r="C2003" s="75">
        <f ca="1">IFERROR(__xludf.DUMMYFUNCTION("""COMPUTED_VALUE"""),0)</f>
        <v>0</v>
      </c>
      <c r="D2003" s="75">
        <f ca="1">IFERROR(__xludf.DUMMYFUNCTION("""COMPUTED_VALUE"""),0)</f>
        <v>0</v>
      </c>
      <c r="E2003" s="76">
        <f ca="1">IFERROR(__xludf.DUMMYFUNCTION("""COMPUTED_VALUE"""),0)</f>
        <v>0</v>
      </c>
      <c r="F2003" s="77">
        <f ca="1">IFERROR(__xludf.DUMMYFUNCTION("""COMPUTED_VALUE"""),20140210)</f>
        <v>20140210</v>
      </c>
      <c r="G2003" s="77" t="str">
        <f t="shared" ca="1" si="7"/>
        <v>si</v>
      </c>
    </row>
    <row r="2004" spans="1:7" ht="12.75" x14ac:dyDescent="0.2">
      <c r="A2004" s="62">
        <f ca="1">IFERROR(__xludf.DUMMYFUNCTION("""COMPUTED_VALUE"""),20140247)</f>
        <v>20140247</v>
      </c>
      <c r="B2004" s="62" t="str">
        <f ca="1">IFERROR(__xludf.DUMMYFUNCTION("""COMPUTED_VALUE"""),"Flex Trackpad Macbook A1466 (2013 - 2017)")</f>
        <v>Flex Trackpad Macbook A1466 (2013 - 2017)</v>
      </c>
      <c r="C2004" s="75">
        <f ca="1">IFERROR(__xludf.DUMMYFUNCTION("""COMPUTED_VALUE"""),100)</f>
        <v>100</v>
      </c>
      <c r="D2004" s="75">
        <f ca="1">IFERROR(__xludf.DUMMYFUNCTION("""COMPUTED_VALUE"""),50)</f>
        <v>50</v>
      </c>
      <c r="E2004" s="76">
        <f ca="1">IFERROR(__xludf.DUMMYFUNCTION("""COMPUTED_VALUE"""),150)</f>
        <v>150</v>
      </c>
      <c r="F2004" s="77">
        <f ca="1">IFERROR(__xludf.DUMMYFUNCTION("""COMPUTED_VALUE"""),20140247)</f>
        <v>20140247</v>
      </c>
      <c r="G2004" s="77" t="str">
        <f t="shared" ca="1" si="7"/>
        <v>si</v>
      </c>
    </row>
    <row r="2005" spans="1:7" ht="12.75" x14ac:dyDescent="0.2">
      <c r="A2005" s="62">
        <f ca="1">IFERROR(__xludf.DUMMYFUNCTION("""COMPUTED_VALUE"""),20140246)</f>
        <v>20140246</v>
      </c>
      <c r="B2005" s="62" t="str">
        <f ca="1">IFERROR(__xludf.DUMMYFUNCTION("""COMPUTED_VALUE"""),"Flex Trackpad Macbook A1932 (2018)")</f>
        <v>Flex Trackpad Macbook A1932 (2018)</v>
      </c>
      <c r="C2005" s="75">
        <f ca="1">IFERROR(__xludf.DUMMYFUNCTION("""COMPUTED_VALUE"""),100)</f>
        <v>100</v>
      </c>
      <c r="D2005" s="75">
        <f ca="1">IFERROR(__xludf.DUMMYFUNCTION("""COMPUTED_VALUE"""),50)</f>
        <v>50</v>
      </c>
      <c r="E2005" s="76">
        <f ca="1">IFERROR(__xludf.DUMMYFUNCTION("""COMPUTED_VALUE"""),150)</f>
        <v>150</v>
      </c>
      <c r="F2005" s="77">
        <f ca="1">IFERROR(__xludf.DUMMYFUNCTION("""COMPUTED_VALUE"""),20140246)</f>
        <v>20140246</v>
      </c>
      <c r="G2005" s="77" t="str">
        <f t="shared" ca="1" si="7"/>
        <v>si</v>
      </c>
    </row>
    <row r="2006" spans="1:7" ht="12.75" x14ac:dyDescent="0.2">
      <c r="A2006" s="62">
        <f ca="1">IFERROR(__xludf.DUMMYFUNCTION("""COMPUTED_VALUE"""),20140245)</f>
        <v>20140245</v>
      </c>
      <c r="B2006" s="62" t="str">
        <f ca="1">IFERROR(__xludf.DUMMYFUNCTION("""COMPUTED_VALUE"""),"Flex Trackpad Macbook A1706 ")</f>
        <v xml:space="preserve">Flex Trackpad Macbook A1706 </v>
      </c>
      <c r="C2006" s="75">
        <f ca="1">IFERROR(__xludf.DUMMYFUNCTION("""COMPUTED_VALUE"""),100)</f>
        <v>100</v>
      </c>
      <c r="D2006" s="75">
        <f ca="1">IFERROR(__xludf.DUMMYFUNCTION("""COMPUTED_VALUE"""),50)</f>
        <v>50</v>
      </c>
      <c r="E2006" s="76">
        <f ca="1">IFERROR(__xludf.DUMMYFUNCTION("""COMPUTED_VALUE"""),150)</f>
        <v>150</v>
      </c>
      <c r="F2006" s="77">
        <f ca="1">IFERROR(__xludf.DUMMYFUNCTION("""COMPUTED_VALUE"""),20140245)</f>
        <v>20140245</v>
      </c>
      <c r="G2006" s="77" t="str">
        <f t="shared" ca="1" si="7"/>
        <v>si</v>
      </c>
    </row>
    <row r="2007" spans="1:7" ht="12.75" x14ac:dyDescent="0.2">
      <c r="A2007" s="62">
        <f ca="1">IFERROR(__xludf.DUMMYFUNCTION("""COMPUTED_VALUE"""),20140244)</f>
        <v>20140244</v>
      </c>
      <c r="B2007" s="62" t="str">
        <f ca="1">IFERROR(__xludf.DUMMYFUNCTION("""COMPUTED_VALUE"""),"Flex Trackpad Macbook A1708")</f>
        <v>Flex Trackpad Macbook A1708</v>
      </c>
      <c r="C2007" s="75">
        <f ca="1">IFERROR(__xludf.DUMMYFUNCTION("""COMPUTED_VALUE"""),100)</f>
        <v>100</v>
      </c>
      <c r="D2007" s="75">
        <f ca="1">IFERROR(__xludf.DUMMYFUNCTION("""COMPUTED_VALUE"""),50)</f>
        <v>50</v>
      </c>
      <c r="E2007" s="76">
        <f ca="1">IFERROR(__xludf.DUMMYFUNCTION("""COMPUTED_VALUE"""),150)</f>
        <v>150</v>
      </c>
      <c r="F2007" s="77">
        <f ca="1">IFERROR(__xludf.DUMMYFUNCTION("""COMPUTED_VALUE"""),20140244)</f>
        <v>20140244</v>
      </c>
      <c r="G2007" s="77" t="str">
        <f t="shared" ca="1" si="7"/>
        <v>si</v>
      </c>
    </row>
    <row r="2008" spans="1:7" ht="12.75" x14ac:dyDescent="0.2">
      <c r="A2008" s="62">
        <f ca="1">IFERROR(__xludf.DUMMYFUNCTION("""COMPUTED_VALUE"""),20140243)</f>
        <v>20140243</v>
      </c>
      <c r="B2008" s="62" t="str">
        <f ca="1">IFERROR(__xludf.DUMMYFUNCTION("""COMPUTED_VALUE"""),"Flex Trackpad Macbook A1707 (2016 - 2017)")</f>
        <v>Flex Trackpad Macbook A1707 (2016 - 2017)</v>
      </c>
      <c r="C2008" s="75">
        <f ca="1">IFERROR(__xludf.DUMMYFUNCTION("""COMPUTED_VALUE"""),100)</f>
        <v>100</v>
      </c>
      <c r="D2008" s="75">
        <f ca="1">IFERROR(__xludf.DUMMYFUNCTION("""COMPUTED_VALUE"""),50)</f>
        <v>50</v>
      </c>
      <c r="E2008" s="76">
        <f ca="1">IFERROR(__xludf.DUMMYFUNCTION("""COMPUTED_VALUE"""),150)</f>
        <v>150</v>
      </c>
      <c r="F2008" s="77">
        <f ca="1">IFERROR(__xludf.DUMMYFUNCTION("""COMPUTED_VALUE"""),20140243)</f>
        <v>20140243</v>
      </c>
      <c r="G2008" s="77" t="str">
        <f t="shared" ca="1" si="7"/>
        <v>si</v>
      </c>
    </row>
    <row r="2009" spans="1:7" ht="12.75" x14ac:dyDescent="0.2">
      <c r="A2009" s="62">
        <f ca="1">IFERROR(__xludf.DUMMYFUNCTION("""COMPUTED_VALUE"""),20140242)</f>
        <v>20140242</v>
      </c>
      <c r="B2009" s="62" t="str">
        <f ca="1">IFERROR(__xludf.DUMMYFUNCTION("""COMPUTED_VALUE"""),"Flex Trackpad Macbook Pro 15´- A1398 (2015 - 2016)")</f>
        <v>Flex Trackpad Macbook Pro 15´- A1398 (2015 - 2016)</v>
      </c>
      <c r="C2009" s="75">
        <f ca="1">IFERROR(__xludf.DUMMYFUNCTION("""COMPUTED_VALUE"""),100)</f>
        <v>100</v>
      </c>
      <c r="D2009" s="75">
        <f ca="1">IFERROR(__xludf.DUMMYFUNCTION("""COMPUTED_VALUE"""),50)</f>
        <v>50</v>
      </c>
      <c r="E2009" s="76">
        <f ca="1">IFERROR(__xludf.DUMMYFUNCTION("""COMPUTED_VALUE"""),150)</f>
        <v>150</v>
      </c>
      <c r="F2009" s="77">
        <f ca="1">IFERROR(__xludf.DUMMYFUNCTION("""COMPUTED_VALUE"""),20140242)</f>
        <v>20140242</v>
      </c>
      <c r="G2009" s="77" t="str">
        <f t="shared" ca="1" si="7"/>
        <v>si</v>
      </c>
    </row>
    <row r="2010" spans="1:7" ht="12.75" x14ac:dyDescent="0.2">
      <c r="A2010" s="62">
        <f ca="1">IFERROR(__xludf.DUMMYFUNCTION("""COMPUTED_VALUE"""),20140241)</f>
        <v>20140241</v>
      </c>
      <c r="B2010" s="62" t="str">
        <f ca="1">IFERROR(__xludf.DUMMYFUNCTION("""COMPUTED_VALUE"""),"Flex Trackpad Macbook Pro 13´- A1502 (2015)")</f>
        <v>Flex Trackpad Macbook Pro 13´- A1502 (2015)</v>
      </c>
      <c r="C2010" s="75">
        <f ca="1">IFERROR(__xludf.DUMMYFUNCTION("""COMPUTED_VALUE"""),100)</f>
        <v>100</v>
      </c>
      <c r="D2010" s="75">
        <f ca="1">IFERROR(__xludf.DUMMYFUNCTION("""COMPUTED_VALUE"""),50)</f>
        <v>50</v>
      </c>
      <c r="E2010" s="76">
        <f ca="1">IFERROR(__xludf.DUMMYFUNCTION("""COMPUTED_VALUE"""),150)</f>
        <v>150</v>
      </c>
      <c r="F2010" s="77">
        <f ca="1">IFERROR(__xludf.DUMMYFUNCTION("""COMPUTED_VALUE"""),20140241)</f>
        <v>20140241</v>
      </c>
      <c r="G2010" s="77" t="str">
        <f t="shared" ca="1" si="7"/>
        <v>si</v>
      </c>
    </row>
    <row r="2011" spans="1:7" ht="12.75" x14ac:dyDescent="0.2">
      <c r="A2011" s="62">
        <f ca="1">IFERROR(__xludf.DUMMYFUNCTION("""COMPUTED_VALUE"""),20140240)</f>
        <v>20140240</v>
      </c>
      <c r="B2011" s="62" t="str">
        <f ca="1">IFERROR(__xludf.DUMMYFUNCTION("""COMPUTED_VALUE"""),"Flex Trackpad Macbook A1502 (2013 - 2014)")</f>
        <v>Flex Trackpad Macbook A1502 (2013 - 2014)</v>
      </c>
      <c r="C2011" s="75">
        <f ca="1">IFERROR(__xludf.DUMMYFUNCTION("""COMPUTED_VALUE"""),100)</f>
        <v>100</v>
      </c>
      <c r="D2011" s="75">
        <f ca="1">IFERROR(__xludf.DUMMYFUNCTION("""COMPUTED_VALUE"""),50)</f>
        <v>50</v>
      </c>
      <c r="E2011" s="76">
        <f ca="1">IFERROR(__xludf.DUMMYFUNCTION("""COMPUTED_VALUE"""),150)</f>
        <v>150</v>
      </c>
      <c r="F2011" s="77">
        <f ca="1">IFERROR(__xludf.DUMMYFUNCTION("""COMPUTED_VALUE"""),20140240)</f>
        <v>20140240</v>
      </c>
      <c r="G2011" s="77" t="str">
        <f t="shared" ca="1" si="7"/>
        <v>si</v>
      </c>
    </row>
    <row r="2012" spans="1:7" ht="12.75" x14ac:dyDescent="0.2">
      <c r="A2012" s="62">
        <f ca="1">IFERROR(__xludf.DUMMYFUNCTION("""COMPUTED_VALUE"""),20140239)</f>
        <v>20140239</v>
      </c>
      <c r="B2012" s="62" t="str">
        <f ca="1">IFERROR(__xludf.DUMMYFUNCTION("""COMPUTED_VALUE"""),"Flex Trackpad Macbook Pro - A1990  (2018)")</f>
        <v>Flex Trackpad Macbook Pro - A1990  (2018)</v>
      </c>
      <c r="C2012" s="75">
        <f ca="1">IFERROR(__xludf.DUMMYFUNCTION("""COMPUTED_VALUE"""),100)</f>
        <v>100</v>
      </c>
      <c r="D2012" s="75">
        <f ca="1">IFERROR(__xludf.DUMMYFUNCTION("""COMPUTED_VALUE"""),50)</f>
        <v>50</v>
      </c>
      <c r="E2012" s="76">
        <f ca="1">IFERROR(__xludf.DUMMYFUNCTION("""COMPUTED_VALUE"""),150)</f>
        <v>150</v>
      </c>
      <c r="F2012" s="77">
        <f ca="1">IFERROR(__xludf.DUMMYFUNCTION("""COMPUTED_VALUE"""),20140239)</f>
        <v>20140239</v>
      </c>
      <c r="G2012" s="77" t="str">
        <f t="shared" ca="1" si="7"/>
        <v>si</v>
      </c>
    </row>
    <row r="2013" spans="1:7" ht="12.75" x14ac:dyDescent="0.2">
      <c r="A2013" s="62">
        <f ca="1">IFERROR(__xludf.DUMMYFUNCTION("""COMPUTED_VALUE"""),20140238)</f>
        <v>20140238</v>
      </c>
      <c r="B2013" s="62" t="str">
        <f ca="1">IFERROR(__xludf.DUMMYFUNCTION("""COMPUTED_VALUE"""),"Flex Trackpad Macbook - A1989")</f>
        <v>Flex Trackpad Macbook - A1989</v>
      </c>
      <c r="C2013" s="75">
        <f ca="1">IFERROR(__xludf.DUMMYFUNCTION("""COMPUTED_VALUE"""),100)</f>
        <v>100</v>
      </c>
      <c r="D2013" s="75">
        <f ca="1">IFERROR(__xludf.DUMMYFUNCTION("""COMPUTED_VALUE"""),50)</f>
        <v>50</v>
      </c>
      <c r="E2013" s="76">
        <f ca="1">IFERROR(__xludf.DUMMYFUNCTION("""COMPUTED_VALUE"""),150)</f>
        <v>150</v>
      </c>
      <c r="F2013" s="77">
        <f ca="1">IFERROR(__xludf.DUMMYFUNCTION("""COMPUTED_VALUE"""),20140238)</f>
        <v>20140238</v>
      </c>
      <c r="G2013" s="77" t="str">
        <f t="shared" ca="1" si="7"/>
        <v>si</v>
      </c>
    </row>
    <row r="2014" spans="1:7" ht="12.75" x14ac:dyDescent="0.2">
      <c r="A2014" s="62">
        <f ca="1">IFERROR(__xludf.DUMMYFUNCTION("""COMPUTED_VALUE"""),20140237)</f>
        <v>20140237</v>
      </c>
      <c r="B2014" s="62" t="str">
        <f ca="1">IFERROR(__xludf.DUMMYFUNCTION("""COMPUTED_VALUE"""),"Flex Trackpad Macbook - A2159")</f>
        <v>Flex Trackpad Macbook - A2159</v>
      </c>
      <c r="C2014" s="75">
        <f ca="1">IFERROR(__xludf.DUMMYFUNCTION("""COMPUTED_VALUE"""),100)</f>
        <v>100</v>
      </c>
      <c r="D2014" s="75">
        <f ca="1">IFERROR(__xludf.DUMMYFUNCTION("""COMPUTED_VALUE"""),50)</f>
        <v>50</v>
      </c>
      <c r="E2014" s="76">
        <f ca="1">IFERROR(__xludf.DUMMYFUNCTION("""COMPUTED_VALUE"""),150)</f>
        <v>150</v>
      </c>
      <c r="F2014" s="77">
        <f ca="1">IFERROR(__xludf.DUMMYFUNCTION("""COMPUTED_VALUE"""),20140237)</f>
        <v>20140237</v>
      </c>
      <c r="G2014" s="77" t="str">
        <f t="shared" ca="1" si="7"/>
        <v>si</v>
      </c>
    </row>
    <row r="2015" spans="1:7" ht="12.75" x14ac:dyDescent="0.2">
      <c r="A2015" s="62">
        <f ca="1">IFERROR(__xludf.DUMMYFUNCTION("""COMPUTED_VALUE"""),20140236)</f>
        <v>20140236</v>
      </c>
      <c r="B2015" s="62" t="str">
        <f ca="1">IFERROR(__xludf.DUMMYFUNCTION("""COMPUTED_VALUE"""),"Flex Trackpad Macbook - A2289")</f>
        <v>Flex Trackpad Macbook - A2289</v>
      </c>
      <c r="C2015" s="75">
        <f ca="1">IFERROR(__xludf.DUMMYFUNCTION("""COMPUTED_VALUE"""),100)</f>
        <v>100</v>
      </c>
      <c r="D2015" s="75">
        <f ca="1">IFERROR(__xludf.DUMMYFUNCTION("""COMPUTED_VALUE"""),50)</f>
        <v>50</v>
      </c>
      <c r="E2015" s="76">
        <f ca="1">IFERROR(__xludf.DUMMYFUNCTION("""COMPUTED_VALUE"""),150)</f>
        <v>150</v>
      </c>
      <c r="F2015" s="77">
        <f ca="1">IFERROR(__xludf.DUMMYFUNCTION("""COMPUTED_VALUE"""),20140236)</f>
        <v>20140236</v>
      </c>
      <c r="G2015" s="77" t="str">
        <f t="shared" ca="1" si="7"/>
        <v>si</v>
      </c>
    </row>
    <row r="2016" spans="1:7" ht="12.75" x14ac:dyDescent="0.2">
      <c r="A2016" s="62">
        <f ca="1">IFERROR(__xludf.DUMMYFUNCTION("""COMPUTED_VALUE"""),20140235)</f>
        <v>20140235</v>
      </c>
      <c r="B2016" s="62" t="str">
        <f ca="1">IFERROR(__xludf.DUMMYFUNCTION("""COMPUTED_VALUE"""),"Flex Trackpad Macbook - A2179 - A2337")</f>
        <v>Flex Trackpad Macbook - A2179 - A2337</v>
      </c>
      <c r="C2016" s="75">
        <f ca="1">IFERROR(__xludf.DUMMYFUNCTION("""COMPUTED_VALUE"""),100)</f>
        <v>100</v>
      </c>
      <c r="D2016" s="75">
        <f ca="1">IFERROR(__xludf.DUMMYFUNCTION("""COMPUTED_VALUE"""),50)</f>
        <v>50</v>
      </c>
      <c r="E2016" s="76">
        <f ca="1">IFERROR(__xludf.DUMMYFUNCTION("""COMPUTED_VALUE"""),150)</f>
        <v>150</v>
      </c>
      <c r="F2016" s="77">
        <f ca="1">IFERROR(__xludf.DUMMYFUNCTION("""COMPUTED_VALUE"""),20140235)</f>
        <v>20140235</v>
      </c>
      <c r="G2016" s="77" t="str">
        <f t="shared" ca="1" si="7"/>
        <v>si</v>
      </c>
    </row>
    <row r="2017" spans="1:7" ht="12.75" x14ac:dyDescent="0.2">
      <c r="A2017" s="62">
        <f ca="1">IFERROR(__xludf.DUMMYFUNCTION("""COMPUTED_VALUE"""),20140234)</f>
        <v>20140234</v>
      </c>
      <c r="B2017" s="62" t="str">
        <f ca="1">IFERROR(__xludf.DUMMYFUNCTION("""COMPUTED_VALUE"""),"Flex Trackpad Macbook - A2179")</f>
        <v>Flex Trackpad Macbook - A2179</v>
      </c>
      <c r="C2017" s="75">
        <f ca="1">IFERROR(__xludf.DUMMYFUNCTION("""COMPUTED_VALUE"""),100)</f>
        <v>100</v>
      </c>
      <c r="D2017" s="75">
        <f ca="1">IFERROR(__xludf.DUMMYFUNCTION("""COMPUTED_VALUE"""),50)</f>
        <v>50</v>
      </c>
      <c r="E2017" s="76">
        <f ca="1">IFERROR(__xludf.DUMMYFUNCTION("""COMPUTED_VALUE"""),150)</f>
        <v>150</v>
      </c>
      <c r="F2017" s="77">
        <f ca="1">IFERROR(__xludf.DUMMYFUNCTION("""COMPUTED_VALUE"""),20140234)</f>
        <v>20140234</v>
      </c>
      <c r="G2017" s="77" t="str">
        <f t="shared" ca="1" si="7"/>
        <v>si</v>
      </c>
    </row>
    <row r="2018" spans="1:7" ht="12.75" x14ac:dyDescent="0.2">
      <c r="A2018" s="62">
        <f ca="1">IFERROR(__xludf.DUMMYFUNCTION("""COMPUTED_VALUE"""),20140233)</f>
        <v>20140233</v>
      </c>
      <c r="B2018" s="62" t="str">
        <f ca="1">IFERROR(__xludf.DUMMYFUNCTION("""COMPUTED_VALUE"""),"Flex Trackpad Macbook - A2338")</f>
        <v>Flex Trackpad Macbook - A2338</v>
      </c>
      <c r="C2018" s="75">
        <f ca="1">IFERROR(__xludf.DUMMYFUNCTION("""COMPUTED_VALUE"""),100)</f>
        <v>100</v>
      </c>
      <c r="D2018" s="75">
        <f ca="1">IFERROR(__xludf.DUMMYFUNCTION("""COMPUTED_VALUE"""),50)</f>
        <v>50</v>
      </c>
      <c r="E2018" s="76">
        <f ca="1">IFERROR(__xludf.DUMMYFUNCTION("""COMPUTED_VALUE"""),150)</f>
        <v>150</v>
      </c>
      <c r="F2018" s="77">
        <f ca="1">IFERROR(__xludf.DUMMYFUNCTION("""COMPUTED_VALUE"""),20140233)</f>
        <v>20140233</v>
      </c>
      <c r="G2018" s="77" t="str">
        <f t="shared" ca="1" si="7"/>
        <v>si</v>
      </c>
    </row>
    <row r="2019" spans="1:7" ht="12.75" x14ac:dyDescent="0.2">
      <c r="A2019" s="62">
        <f ca="1">IFERROR(__xludf.DUMMYFUNCTION("""COMPUTED_VALUE"""),20140232)</f>
        <v>20140232</v>
      </c>
      <c r="B2019" s="62" t="str">
        <f ca="1">IFERROR(__xludf.DUMMYFUNCTION("""COMPUTED_VALUE"""),"Flex Trackpad Macbook - A2251")</f>
        <v>Flex Trackpad Macbook - A2251</v>
      </c>
      <c r="C2019" s="75">
        <f ca="1">IFERROR(__xludf.DUMMYFUNCTION("""COMPUTED_VALUE"""),100)</f>
        <v>100</v>
      </c>
      <c r="D2019" s="75">
        <f ca="1">IFERROR(__xludf.DUMMYFUNCTION("""COMPUTED_VALUE"""),50)</f>
        <v>50</v>
      </c>
      <c r="E2019" s="76">
        <f ca="1">IFERROR(__xludf.DUMMYFUNCTION("""COMPUTED_VALUE"""),150)</f>
        <v>150</v>
      </c>
      <c r="F2019" s="77">
        <f ca="1">IFERROR(__xludf.DUMMYFUNCTION("""COMPUTED_VALUE"""),20140232)</f>
        <v>20140232</v>
      </c>
      <c r="G2019" s="77" t="str">
        <f t="shared" ca="1" si="7"/>
        <v>si</v>
      </c>
    </row>
    <row r="2020" spans="1:7" ht="12.75" x14ac:dyDescent="0.2">
      <c r="A2020" s="62">
        <f ca="1">IFERROR(__xludf.DUMMYFUNCTION("""COMPUTED_VALUE"""),20140301)</f>
        <v>20140301</v>
      </c>
      <c r="B2020" s="62" t="str">
        <f ca="1">IFERROR(__xludf.DUMMYFUNCTION("""COMPUTED_VALUE"""),"Flex Trackpad Macbook A2141")</f>
        <v>Flex Trackpad Macbook A2141</v>
      </c>
      <c r="C2020" s="75">
        <f ca="1">IFERROR(__xludf.DUMMYFUNCTION("""COMPUTED_VALUE"""),100)</f>
        <v>100</v>
      </c>
      <c r="D2020" s="75">
        <f ca="1">IFERROR(__xludf.DUMMYFUNCTION("""COMPUTED_VALUE"""),50)</f>
        <v>50</v>
      </c>
      <c r="E2020" s="76">
        <f ca="1">IFERROR(__xludf.DUMMYFUNCTION("""COMPUTED_VALUE"""),150)</f>
        <v>150</v>
      </c>
      <c r="F2020" s="77">
        <f ca="1">IFERROR(__xludf.DUMMYFUNCTION("""COMPUTED_VALUE"""),20140301)</f>
        <v>20140301</v>
      </c>
      <c r="G2020" s="77" t="str">
        <f t="shared" ca="1" si="7"/>
        <v>si</v>
      </c>
    </row>
    <row r="2021" spans="1:7" ht="12.75" x14ac:dyDescent="0.2">
      <c r="A2021" s="62">
        <f ca="1">IFERROR(__xludf.DUMMYFUNCTION("""COMPUTED_VALUE"""),20140302)</f>
        <v>20140302</v>
      </c>
      <c r="B2021" s="62" t="str">
        <f ca="1">IFERROR(__xludf.DUMMYFUNCTION("""COMPUTED_VALUE"""),"Flex Trackpad Macbook A1534 2015")</f>
        <v>Flex Trackpad Macbook A1534 2015</v>
      </c>
      <c r="C2021" s="75">
        <f ca="1">IFERROR(__xludf.DUMMYFUNCTION("""COMPUTED_VALUE"""),100)</f>
        <v>100</v>
      </c>
      <c r="D2021" s="75">
        <f ca="1">IFERROR(__xludf.DUMMYFUNCTION("""COMPUTED_VALUE"""),50)</f>
        <v>50</v>
      </c>
      <c r="E2021" s="76">
        <f ca="1">IFERROR(__xludf.DUMMYFUNCTION("""COMPUTED_VALUE"""),150)</f>
        <v>150</v>
      </c>
      <c r="F2021" s="77">
        <f ca="1">IFERROR(__xludf.DUMMYFUNCTION("""COMPUTED_VALUE"""),20140302)</f>
        <v>20140302</v>
      </c>
      <c r="G2021" s="77" t="str">
        <f t="shared" ca="1" si="7"/>
        <v>si</v>
      </c>
    </row>
    <row r="2022" spans="1:7" ht="12.75" x14ac:dyDescent="0.2">
      <c r="A2022" s="62">
        <f ca="1">IFERROR(__xludf.DUMMYFUNCTION("""COMPUTED_VALUE"""),20140303)</f>
        <v>20140303</v>
      </c>
      <c r="B2022" s="62" t="str">
        <f ca="1">IFERROR(__xludf.DUMMYFUNCTION("""COMPUTED_VALUE"""),"Flex Trackpad Macbook A1534 2016 - 2017")</f>
        <v>Flex Trackpad Macbook A1534 2016 - 2017</v>
      </c>
      <c r="C2022" s="75">
        <f ca="1">IFERROR(__xludf.DUMMYFUNCTION("""COMPUTED_VALUE"""),100)</f>
        <v>100</v>
      </c>
      <c r="D2022" s="75">
        <f ca="1">IFERROR(__xludf.DUMMYFUNCTION("""COMPUTED_VALUE"""),50)</f>
        <v>50</v>
      </c>
      <c r="E2022" s="76">
        <f ca="1">IFERROR(__xludf.DUMMYFUNCTION("""COMPUTED_VALUE"""),150)</f>
        <v>150</v>
      </c>
      <c r="F2022" s="77">
        <f ca="1">IFERROR(__xludf.DUMMYFUNCTION("""COMPUTED_VALUE"""),20140303)</f>
        <v>20140303</v>
      </c>
      <c r="G2022" s="77" t="str">
        <f t="shared" ca="1" si="7"/>
        <v>si</v>
      </c>
    </row>
    <row r="2023" spans="1:7" ht="12.75" x14ac:dyDescent="0.2">
      <c r="A2023" s="62">
        <f ca="1">IFERROR(__xludf.DUMMYFUNCTION("""COMPUTED_VALUE"""),20140304)</f>
        <v>20140304</v>
      </c>
      <c r="B2023" s="62" t="str">
        <f ca="1">IFERROR(__xludf.DUMMYFUNCTION("""COMPUTED_VALUE"""),"Flex Trackpad Macbook A1398 2013 - 2014")</f>
        <v>Flex Trackpad Macbook A1398 2013 - 2014</v>
      </c>
      <c r="C2023" s="75">
        <f ca="1">IFERROR(__xludf.DUMMYFUNCTION("""COMPUTED_VALUE"""),100)</f>
        <v>100</v>
      </c>
      <c r="D2023" s="75">
        <f ca="1">IFERROR(__xludf.DUMMYFUNCTION("""COMPUTED_VALUE"""),50)</f>
        <v>50</v>
      </c>
      <c r="E2023" s="76">
        <f ca="1">IFERROR(__xludf.DUMMYFUNCTION("""COMPUTED_VALUE"""),150)</f>
        <v>150</v>
      </c>
      <c r="F2023" s="77">
        <f ca="1">IFERROR(__xludf.DUMMYFUNCTION("""COMPUTED_VALUE"""),20140304)</f>
        <v>20140304</v>
      </c>
      <c r="G2023" s="77" t="str">
        <f t="shared" ca="1" si="7"/>
        <v>si</v>
      </c>
    </row>
    <row r="2024" spans="1:7" ht="12.75" x14ac:dyDescent="0.2">
      <c r="A2024" s="62">
        <f ca="1">IFERROR(__xludf.DUMMYFUNCTION("""COMPUTED_VALUE"""),20140231)</f>
        <v>20140231</v>
      </c>
      <c r="B2024" s="62" t="str">
        <f ca="1">IFERROR(__xludf.DUMMYFUNCTION("""COMPUTED_VALUE"""),"LCD iMAC 21.5´ 2012 A1418")</f>
        <v>LCD iMAC 21.5´ 2012 A1418</v>
      </c>
      <c r="C2024" s="75">
        <f ca="1">IFERROR(__xludf.DUMMYFUNCTION("""COMPUTED_VALUE"""),2000)</f>
        <v>2000</v>
      </c>
      <c r="D2024" s="75">
        <f ca="1">IFERROR(__xludf.DUMMYFUNCTION("""COMPUTED_VALUE"""),300)</f>
        <v>300</v>
      </c>
      <c r="E2024" s="76">
        <f ca="1">IFERROR(__xludf.DUMMYFUNCTION("""COMPUTED_VALUE"""),2300)</f>
        <v>2300</v>
      </c>
      <c r="F2024" s="77">
        <f ca="1">IFERROR(__xludf.DUMMYFUNCTION("""COMPUTED_VALUE"""),20140231)</f>
        <v>20140231</v>
      </c>
      <c r="G2024" s="77" t="str">
        <f t="shared" ca="1" si="7"/>
        <v>si</v>
      </c>
    </row>
    <row r="2025" spans="1:7" ht="12.75" x14ac:dyDescent="0.2">
      <c r="A2025" s="62">
        <f ca="1">IFERROR(__xludf.DUMMYFUNCTION("""COMPUTED_VALUE"""),20140230)</f>
        <v>20140230</v>
      </c>
      <c r="B2025" s="62" t="str">
        <f ca="1">IFERROR(__xludf.DUMMYFUNCTION("""COMPUTED_VALUE"""),"LCD iMAC 27´ 2012 A1419")</f>
        <v>LCD iMAC 27´ 2012 A1419</v>
      </c>
      <c r="C2025" s="75">
        <f ca="1">IFERROR(__xludf.DUMMYFUNCTION("""COMPUTED_VALUE"""),2400)</f>
        <v>2400</v>
      </c>
      <c r="D2025" s="75">
        <f ca="1">IFERROR(__xludf.DUMMYFUNCTION("""COMPUTED_VALUE"""),300)</f>
        <v>300</v>
      </c>
      <c r="E2025" s="76">
        <f ca="1">IFERROR(__xludf.DUMMYFUNCTION("""COMPUTED_VALUE"""),2700)</f>
        <v>2700</v>
      </c>
      <c r="F2025" s="77">
        <f ca="1">IFERROR(__xludf.DUMMYFUNCTION("""COMPUTED_VALUE"""),20140230)</f>
        <v>20140230</v>
      </c>
      <c r="G2025" s="77" t="str">
        <f t="shared" ca="1" si="7"/>
        <v>si</v>
      </c>
    </row>
    <row r="2026" spans="1:7" ht="12.75" x14ac:dyDescent="0.2">
      <c r="A2026" s="62">
        <f ca="1">IFERROR(__xludf.DUMMYFUNCTION("""COMPUTED_VALUE"""),20140229)</f>
        <v>20140229</v>
      </c>
      <c r="B2026" s="62" t="str">
        <f ca="1">IFERROR(__xludf.DUMMYFUNCTION("""COMPUTED_VALUE"""),"LCD iMAC 21.5´ 2013 A1418")</f>
        <v>LCD iMAC 21.5´ 2013 A1418</v>
      </c>
      <c r="C2026" s="75">
        <f ca="1">IFERROR(__xludf.DUMMYFUNCTION("""COMPUTED_VALUE"""),2100)</f>
        <v>2100</v>
      </c>
      <c r="D2026" s="75">
        <f ca="1">IFERROR(__xludf.DUMMYFUNCTION("""COMPUTED_VALUE"""),300)</f>
        <v>300</v>
      </c>
      <c r="E2026" s="76">
        <f ca="1">IFERROR(__xludf.DUMMYFUNCTION("""COMPUTED_VALUE"""),2400)</f>
        <v>2400</v>
      </c>
      <c r="F2026" s="77">
        <f ca="1">IFERROR(__xludf.DUMMYFUNCTION("""COMPUTED_VALUE"""),20140229)</f>
        <v>20140229</v>
      </c>
      <c r="G2026" s="77" t="str">
        <f t="shared" ca="1" si="7"/>
        <v>si</v>
      </c>
    </row>
    <row r="2027" spans="1:7" ht="12.75" x14ac:dyDescent="0.2">
      <c r="A2027" s="62">
        <f ca="1">IFERROR(__xludf.DUMMYFUNCTION("""COMPUTED_VALUE"""),20140228)</f>
        <v>20140228</v>
      </c>
      <c r="B2027" s="62" t="str">
        <f ca="1">IFERROR(__xludf.DUMMYFUNCTION("""COMPUTED_VALUE"""),"LCD iMAC 27´ 2013 A1419")</f>
        <v>LCD iMAC 27´ 2013 A1419</v>
      </c>
      <c r="C2027" s="75">
        <f ca="1">IFERROR(__xludf.DUMMYFUNCTION("""COMPUTED_VALUE"""),2500)</f>
        <v>2500</v>
      </c>
      <c r="D2027" s="75">
        <f ca="1">IFERROR(__xludf.DUMMYFUNCTION("""COMPUTED_VALUE"""),300)</f>
        <v>300</v>
      </c>
      <c r="E2027" s="76">
        <f ca="1">IFERROR(__xludf.DUMMYFUNCTION("""COMPUTED_VALUE"""),2800)</f>
        <v>2800</v>
      </c>
      <c r="F2027" s="77">
        <f ca="1">IFERROR(__xludf.DUMMYFUNCTION("""COMPUTED_VALUE"""),20140228)</f>
        <v>20140228</v>
      </c>
      <c r="G2027" s="77" t="str">
        <f t="shared" ca="1" si="7"/>
        <v>si</v>
      </c>
    </row>
    <row r="2028" spans="1:7" ht="12.75" x14ac:dyDescent="0.2">
      <c r="A2028" s="62">
        <f ca="1">IFERROR(__xludf.DUMMYFUNCTION("""COMPUTED_VALUE"""),20140227)</f>
        <v>20140227</v>
      </c>
      <c r="B2028" s="62" t="str">
        <f ca="1">IFERROR(__xludf.DUMMYFUNCTION("""COMPUTED_VALUE"""),"LCD iMAC 21.5´ 2014 A1418")</f>
        <v>LCD iMAC 21.5´ 2014 A1418</v>
      </c>
      <c r="C2028" s="75">
        <f ca="1">IFERROR(__xludf.DUMMYFUNCTION("""COMPUTED_VALUE"""),2200)</f>
        <v>2200</v>
      </c>
      <c r="D2028" s="75">
        <f ca="1">IFERROR(__xludf.DUMMYFUNCTION("""COMPUTED_VALUE"""),300)</f>
        <v>300</v>
      </c>
      <c r="E2028" s="76">
        <f ca="1">IFERROR(__xludf.DUMMYFUNCTION("""COMPUTED_VALUE"""),2500)</f>
        <v>2500</v>
      </c>
      <c r="F2028" s="77">
        <f ca="1">IFERROR(__xludf.DUMMYFUNCTION("""COMPUTED_VALUE"""),20140227)</f>
        <v>20140227</v>
      </c>
      <c r="G2028" s="77" t="str">
        <f t="shared" ca="1" si="7"/>
        <v>si</v>
      </c>
    </row>
    <row r="2029" spans="1:7" ht="12.75" x14ac:dyDescent="0.2">
      <c r="A2029" s="62">
        <f ca="1">IFERROR(__xludf.DUMMYFUNCTION("""COMPUTED_VALUE"""),20140226)</f>
        <v>20140226</v>
      </c>
      <c r="B2029" s="62" t="str">
        <f ca="1">IFERROR(__xludf.DUMMYFUNCTION("""COMPUTED_VALUE"""),"LCD iMAC Retina 5K 27´ 2014 A1419")</f>
        <v>LCD iMAC Retina 5K 27´ 2014 A1419</v>
      </c>
      <c r="C2029" s="75">
        <f ca="1">IFERROR(__xludf.DUMMYFUNCTION("""COMPUTED_VALUE"""),2700)</f>
        <v>2700</v>
      </c>
      <c r="D2029" s="75">
        <f ca="1">IFERROR(__xludf.DUMMYFUNCTION("""COMPUTED_VALUE"""),300)</f>
        <v>300</v>
      </c>
      <c r="E2029" s="76">
        <f ca="1">IFERROR(__xludf.DUMMYFUNCTION("""COMPUTED_VALUE"""),3000)</f>
        <v>3000</v>
      </c>
      <c r="F2029" s="77">
        <f ca="1">IFERROR(__xludf.DUMMYFUNCTION("""COMPUTED_VALUE"""),20140226)</f>
        <v>20140226</v>
      </c>
      <c r="G2029" s="77" t="str">
        <f t="shared" ca="1" si="7"/>
        <v>si</v>
      </c>
    </row>
    <row r="2030" spans="1:7" ht="12.75" x14ac:dyDescent="0.2">
      <c r="A2030" s="62">
        <f ca="1">IFERROR(__xludf.DUMMYFUNCTION("""COMPUTED_VALUE"""),20140225)</f>
        <v>20140225</v>
      </c>
      <c r="B2030" s="62" t="str">
        <f ca="1">IFERROR(__xludf.DUMMYFUNCTION("""COMPUTED_VALUE"""),"LCD iMAC Retina 5K 27´ 2015 Mid A1419")</f>
        <v>LCD iMAC Retina 5K 27´ 2015 Mid A1419</v>
      </c>
      <c r="C2030" s="75">
        <f ca="1">IFERROR(__xludf.DUMMYFUNCTION("""COMPUTED_VALUE"""),2800)</f>
        <v>2800</v>
      </c>
      <c r="D2030" s="75">
        <f ca="1">IFERROR(__xludf.DUMMYFUNCTION("""COMPUTED_VALUE"""),300)</f>
        <v>300</v>
      </c>
      <c r="E2030" s="76">
        <f ca="1">IFERROR(__xludf.DUMMYFUNCTION("""COMPUTED_VALUE"""),3100)</f>
        <v>3100</v>
      </c>
      <c r="F2030" s="77">
        <f ca="1">IFERROR(__xludf.DUMMYFUNCTION("""COMPUTED_VALUE"""),20140225)</f>
        <v>20140225</v>
      </c>
      <c r="G2030" s="77" t="str">
        <f t="shared" ca="1" si="7"/>
        <v>si</v>
      </c>
    </row>
    <row r="2031" spans="1:7" ht="12.75" x14ac:dyDescent="0.2">
      <c r="A2031" s="62">
        <f ca="1">IFERROR(__xludf.DUMMYFUNCTION("""COMPUTED_VALUE"""),20140224)</f>
        <v>20140224</v>
      </c>
      <c r="B2031" s="62" t="str">
        <f ca="1">IFERROR(__xludf.DUMMYFUNCTION("""COMPUTED_VALUE"""),"LCD iMAC 21.5´ 2015")</f>
        <v>LCD iMAC 21.5´ 2015</v>
      </c>
      <c r="C2031" s="75">
        <f ca="1">IFERROR(__xludf.DUMMYFUNCTION("""COMPUTED_VALUE"""),0)</f>
        <v>0</v>
      </c>
      <c r="D2031" s="75">
        <f ca="1">IFERROR(__xludf.DUMMYFUNCTION("""COMPUTED_VALUE"""),300)</f>
        <v>300</v>
      </c>
      <c r="E2031" s="76">
        <f ca="1">IFERROR(__xludf.DUMMYFUNCTION("""COMPUTED_VALUE"""),300)</f>
        <v>300</v>
      </c>
      <c r="F2031" s="77">
        <f ca="1">IFERROR(__xludf.DUMMYFUNCTION("""COMPUTED_VALUE"""),20140224)</f>
        <v>20140224</v>
      </c>
      <c r="G2031" s="77" t="str">
        <f t="shared" ca="1" si="7"/>
        <v>si</v>
      </c>
    </row>
    <row r="2032" spans="1:7" ht="12.75" x14ac:dyDescent="0.2">
      <c r="A2032" s="62">
        <f ca="1">IFERROR(__xludf.DUMMYFUNCTION("""COMPUTED_VALUE"""),20140223)</f>
        <v>20140223</v>
      </c>
      <c r="B2032" s="62" t="str">
        <f ca="1">IFERROR(__xludf.DUMMYFUNCTION("""COMPUTED_VALUE"""),"LCD iMAC Retina 4K 21.5´ 2015")</f>
        <v>LCD iMAC Retina 4K 21.5´ 2015</v>
      </c>
      <c r="C2032" s="75">
        <f ca="1">IFERROR(__xludf.DUMMYFUNCTION("""COMPUTED_VALUE"""),0)</f>
        <v>0</v>
      </c>
      <c r="D2032" s="75">
        <f ca="1">IFERROR(__xludf.DUMMYFUNCTION("""COMPUTED_VALUE"""),300)</f>
        <v>300</v>
      </c>
      <c r="E2032" s="76">
        <f ca="1">IFERROR(__xludf.DUMMYFUNCTION("""COMPUTED_VALUE"""),300)</f>
        <v>300</v>
      </c>
      <c r="F2032" s="77">
        <f ca="1">IFERROR(__xludf.DUMMYFUNCTION("""COMPUTED_VALUE"""),20140223)</f>
        <v>20140223</v>
      </c>
      <c r="G2032" s="77" t="str">
        <f t="shared" ca="1" si="7"/>
        <v>si</v>
      </c>
    </row>
    <row r="2033" spans="1:7" ht="12.75" x14ac:dyDescent="0.2">
      <c r="A2033" s="62">
        <f ca="1">IFERROR(__xludf.DUMMYFUNCTION("""COMPUTED_VALUE"""),20140222)</f>
        <v>20140222</v>
      </c>
      <c r="B2033" s="62" t="str">
        <f ca="1">IFERROR(__xludf.DUMMYFUNCTION("""COMPUTED_VALUE"""),"LCD iMAC Retina 5K 27´ 2015 finales A1419")</f>
        <v>LCD iMAC Retina 5K 27´ 2015 finales A1419</v>
      </c>
      <c r="C2033" s="75">
        <f ca="1">IFERROR(__xludf.DUMMYFUNCTION("""COMPUTED_VALUE"""),2800)</f>
        <v>2800</v>
      </c>
      <c r="D2033" s="75">
        <f ca="1">IFERROR(__xludf.DUMMYFUNCTION("""COMPUTED_VALUE"""),300)</f>
        <v>300</v>
      </c>
      <c r="E2033" s="76">
        <f ca="1">IFERROR(__xludf.DUMMYFUNCTION("""COMPUTED_VALUE"""),3100)</f>
        <v>3100</v>
      </c>
      <c r="F2033" s="77">
        <f ca="1">IFERROR(__xludf.DUMMYFUNCTION("""COMPUTED_VALUE"""),20140222)</f>
        <v>20140222</v>
      </c>
      <c r="G2033" s="77" t="str">
        <f t="shared" ca="1" si="7"/>
        <v>si</v>
      </c>
    </row>
    <row r="2034" spans="1:7" ht="12.75" x14ac:dyDescent="0.2">
      <c r="A2034" s="62">
        <f ca="1">IFERROR(__xludf.DUMMYFUNCTION("""COMPUTED_VALUE"""),20140221)</f>
        <v>20140221</v>
      </c>
      <c r="B2034" s="62" t="str">
        <f ca="1">IFERROR(__xludf.DUMMYFUNCTION("""COMPUTED_VALUE"""),"LCD iMAC 21.5´ 2017 A1418")</f>
        <v>LCD iMAC 21.5´ 2017 A1418</v>
      </c>
      <c r="C2034" s="75">
        <f ca="1">IFERROR(__xludf.DUMMYFUNCTION("""COMPUTED_VALUE"""),2200)</f>
        <v>2200</v>
      </c>
      <c r="D2034" s="75">
        <f ca="1">IFERROR(__xludf.DUMMYFUNCTION("""COMPUTED_VALUE"""),300)</f>
        <v>300</v>
      </c>
      <c r="E2034" s="76">
        <f ca="1">IFERROR(__xludf.DUMMYFUNCTION("""COMPUTED_VALUE"""),2500)</f>
        <v>2500</v>
      </c>
      <c r="F2034" s="77">
        <f ca="1">IFERROR(__xludf.DUMMYFUNCTION("""COMPUTED_VALUE"""),20140221)</f>
        <v>20140221</v>
      </c>
      <c r="G2034" s="77" t="str">
        <f t="shared" ca="1" si="7"/>
        <v>si</v>
      </c>
    </row>
    <row r="2035" spans="1:7" ht="12.75" x14ac:dyDescent="0.2">
      <c r="A2035" s="62">
        <f ca="1">IFERROR(__xludf.DUMMYFUNCTION("""COMPUTED_VALUE"""),20140220)</f>
        <v>20140220</v>
      </c>
      <c r="B2035" s="62" t="str">
        <f ca="1">IFERROR(__xludf.DUMMYFUNCTION("""COMPUTED_VALUE"""),"LCD iMAC Retina 4K 21.5´ 2017 A1418")</f>
        <v>LCD iMAC Retina 4K 21.5´ 2017 A1418</v>
      </c>
      <c r="C2035" s="75">
        <f ca="1">IFERROR(__xludf.DUMMYFUNCTION("""COMPUTED_VALUE"""),2500)</f>
        <v>2500</v>
      </c>
      <c r="D2035" s="75">
        <f ca="1">IFERROR(__xludf.DUMMYFUNCTION("""COMPUTED_VALUE"""),300)</f>
        <v>300</v>
      </c>
      <c r="E2035" s="76">
        <f ca="1">IFERROR(__xludf.DUMMYFUNCTION("""COMPUTED_VALUE"""),2800)</f>
        <v>2800</v>
      </c>
      <c r="F2035" s="77">
        <f ca="1">IFERROR(__xludf.DUMMYFUNCTION("""COMPUTED_VALUE"""),20140220)</f>
        <v>20140220</v>
      </c>
      <c r="G2035" s="77" t="str">
        <f t="shared" ca="1" si="7"/>
        <v>si</v>
      </c>
    </row>
    <row r="2036" spans="1:7" ht="12.75" x14ac:dyDescent="0.2">
      <c r="A2036" s="62">
        <f ca="1">IFERROR(__xludf.DUMMYFUNCTION("""COMPUTED_VALUE"""),20140219)</f>
        <v>20140219</v>
      </c>
      <c r="B2036" s="62" t="str">
        <f ca="1">IFERROR(__xludf.DUMMYFUNCTION("""COMPUTED_VALUE"""),"LCD iMAC Retina 5K 27´ 2017 A1419")</f>
        <v>LCD iMAC Retina 5K 27´ 2017 A1419</v>
      </c>
      <c r="C2036" s="75">
        <f ca="1">IFERROR(__xludf.DUMMYFUNCTION("""COMPUTED_VALUE"""),2900)</f>
        <v>2900</v>
      </c>
      <c r="D2036" s="75">
        <f ca="1">IFERROR(__xludf.DUMMYFUNCTION("""COMPUTED_VALUE"""),300)</f>
        <v>300</v>
      </c>
      <c r="E2036" s="76">
        <f ca="1">IFERROR(__xludf.DUMMYFUNCTION("""COMPUTED_VALUE"""),3200)</f>
        <v>3200</v>
      </c>
      <c r="F2036" s="77">
        <f ca="1">IFERROR(__xludf.DUMMYFUNCTION("""COMPUTED_VALUE"""),20140219)</f>
        <v>20140219</v>
      </c>
      <c r="G2036" s="77" t="str">
        <f t="shared" ca="1" si="7"/>
        <v>si</v>
      </c>
    </row>
    <row r="2037" spans="1:7" ht="12.75" x14ac:dyDescent="0.2">
      <c r="A2037" s="62">
        <f ca="1">IFERROR(__xludf.DUMMYFUNCTION("""COMPUTED_VALUE"""),20140218)</f>
        <v>20140218</v>
      </c>
      <c r="B2037" s="62" t="str">
        <f ca="1">IFERROR(__xludf.DUMMYFUNCTION("""COMPUTED_VALUE"""),"LCD iMAC Pro 1.1")</f>
        <v>LCD iMAC Pro 1.1</v>
      </c>
      <c r="C2037" s="75">
        <f ca="1">IFERROR(__xludf.DUMMYFUNCTION("""COMPUTED_VALUE"""),0)</f>
        <v>0</v>
      </c>
      <c r="D2037" s="75">
        <f ca="1">IFERROR(__xludf.DUMMYFUNCTION("""COMPUTED_VALUE"""),300)</f>
        <v>300</v>
      </c>
      <c r="E2037" s="76">
        <f ca="1">IFERROR(__xludf.DUMMYFUNCTION("""COMPUTED_VALUE"""),300)</f>
        <v>300</v>
      </c>
      <c r="F2037" s="77">
        <f ca="1">IFERROR(__xludf.DUMMYFUNCTION("""COMPUTED_VALUE"""),20140218)</f>
        <v>20140218</v>
      </c>
      <c r="G2037" s="77" t="str">
        <f t="shared" ca="1" si="7"/>
        <v>si</v>
      </c>
    </row>
    <row r="2038" spans="1:7" ht="12.75" x14ac:dyDescent="0.2">
      <c r="A2038" s="62">
        <f ca="1">IFERROR(__xludf.DUMMYFUNCTION("""COMPUTED_VALUE"""),20140217)</f>
        <v>20140217</v>
      </c>
      <c r="B2038" s="62" t="str">
        <f ca="1">IFERROR(__xludf.DUMMYFUNCTION("""COMPUTED_VALUE"""),"LCD iMAC Retina 4K 21.5´ 2019  A2116")</f>
        <v>LCD iMAC Retina 4K 21.5´ 2019  A2116</v>
      </c>
      <c r="C2038" s="75">
        <f ca="1">IFERROR(__xludf.DUMMYFUNCTION("""COMPUTED_VALUE"""),2700)</f>
        <v>2700</v>
      </c>
      <c r="D2038" s="75">
        <f ca="1">IFERROR(__xludf.DUMMYFUNCTION("""COMPUTED_VALUE"""),300)</f>
        <v>300</v>
      </c>
      <c r="E2038" s="76">
        <f ca="1">IFERROR(__xludf.DUMMYFUNCTION("""COMPUTED_VALUE"""),3000)</f>
        <v>3000</v>
      </c>
      <c r="F2038" s="77">
        <f ca="1">IFERROR(__xludf.DUMMYFUNCTION("""COMPUTED_VALUE"""),20140217)</f>
        <v>20140217</v>
      </c>
      <c r="G2038" s="77" t="str">
        <f t="shared" ca="1" si="7"/>
        <v>si</v>
      </c>
    </row>
    <row r="2039" spans="1:7" ht="12.75" x14ac:dyDescent="0.2">
      <c r="A2039" s="62">
        <f ca="1">IFERROR(__xludf.DUMMYFUNCTION("""COMPUTED_VALUE"""),20140216)</f>
        <v>20140216</v>
      </c>
      <c r="B2039" s="62" t="str">
        <f ca="1">IFERROR(__xludf.DUMMYFUNCTION("""COMPUTED_VALUE"""),"LCD iMAC Retina 5K 27´ 2019 A2115")</f>
        <v>LCD iMAC Retina 5K 27´ 2019 A2115</v>
      </c>
      <c r="C2039" s="75">
        <f ca="1">IFERROR(__xludf.DUMMYFUNCTION("""COMPUTED_VALUE"""),3100)</f>
        <v>3100</v>
      </c>
      <c r="D2039" s="75">
        <f ca="1">IFERROR(__xludf.DUMMYFUNCTION("""COMPUTED_VALUE"""),300)</f>
        <v>300</v>
      </c>
      <c r="E2039" s="76">
        <f ca="1">IFERROR(__xludf.DUMMYFUNCTION("""COMPUTED_VALUE"""),3400)</f>
        <v>3400</v>
      </c>
      <c r="F2039" s="77">
        <f ca="1">IFERROR(__xludf.DUMMYFUNCTION("""COMPUTED_VALUE"""),20140216)</f>
        <v>20140216</v>
      </c>
      <c r="G2039" s="77" t="str">
        <f t="shared" ca="1" si="7"/>
        <v>si</v>
      </c>
    </row>
    <row r="2040" spans="1:7" ht="12.75" x14ac:dyDescent="0.2">
      <c r="A2040" s="62">
        <f ca="1">IFERROR(__xludf.DUMMYFUNCTION("""COMPUTED_VALUE"""),20140215)</f>
        <v>20140215</v>
      </c>
      <c r="B2040" s="62" t="str">
        <f ca="1">IFERROR(__xludf.DUMMYFUNCTION("""COMPUTED_VALUE"""),"LCD iMAC Retina 5K 27´ 2020 A2115")</f>
        <v>LCD iMAC Retina 5K 27´ 2020 A2115</v>
      </c>
      <c r="C2040" s="75">
        <f ca="1">IFERROR(__xludf.DUMMYFUNCTION("""COMPUTED_VALUE"""),3200)</f>
        <v>3200</v>
      </c>
      <c r="D2040" s="75">
        <f ca="1">IFERROR(__xludf.DUMMYFUNCTION("""COMPUTED_VALUE"""),300)</f>
        <v>300</v>
      </c>
      <c r="E2040" s="76">
        <f ca="1">IFERROR(__xludf.DUMMYFUNCTION("""COMPUTED_VALUE"""),3500)</f>
        <v>3500</v>
      </c>
      <c r="F2040" s="77">
        <f ca="1">IFERROR(__xludf.DUMMYFUNCTION("""COMPUTED_VALUE"""),20140215)</f>
        <v>20140215</v>
      </c>
      <c r="G2040" s="77" t="str">
        <f t="shared" ca="1" si="7"/>
        <v>si</v>
      </c>
    </row>
    <row r="2041" spans="1:7" ht="12.75" x14ac:dyDescent="0.2">
      <c r="A2041" s="62">
        <f ca="1">IFERROR(__xludf.DUMMYFUNCTION("""COMPUTED_VALUE"""),20140214)</f>
        <v>20140214</v>
      </c>
      <c r="B2041" s="62" t="str">
        <f ca="1">IFERROR(__xludf.DUMMYFUNCTION("""COMPUTED_VALUE"""),"LCD iMAC 24´M1 2021")</f>
        <v>LCD iMAC 24´M1 2021</v>
      </c>
      <c r="C2041" s="75">
        <f ca="1">IFERROR(__xludf.DUMMYFUNCTION("""COMPUTED_VALUE"""),0)</f>
        <v>0</v>
      </c>
      <c r="D2041" s="75">
        <f ca="1">IFERROR(__xludf.DUMMYFUNCTION("""COMPUTED_VALUE"""),0)</f>
        <v>0</v>
      </c>
      <c r="E2041" s="76">
        <f ca="1">IFERROR(__xludf.DUMMYFUNCTION("""COMPUTED_VALUE"""),0)</f>
        <v>0</v>
      </c>
      <c r="F2041" s="77">
        <f ca="1">IFERROR(__xludf.DUMMYFUNCTION("""COMPUTED_VALUE"""),20140214)</f>
        <v>20140214</v>
      </c>
      <c r="G2041" s="77" t="str">
        <f t="shared" ca="1" si="7"/>
        <v>si</v>
      </c>
    </row>
    <row r="2042" spans="1:7" ht="12.75" x14ac:dyDescent="0.2">
      <c r="A2042" s="62">
        <f ca="1">IFERROR(__xludf.DUMMYFUNCTION("""COMPUTED_VALUE"""),20140377)</f>
        <v>20140377</v>
      </c>
      <c r="B2042" s="62" t="str">
        <f ca="1">IFERROR(__xludf.DUMMYFUNCTION("""COMPUTED_VALUE"""),"A1708 Conector Tipo C")</f>
        <v>A1708 Conector Tipo C</v>
      </c>
      <c r="C2042" s="75">
        <f ca="1">IFERROR(__xludf.DUMMYFUNCTION("""COMPUTED_VALUE"""),550)</f>
        <v>550</v>
      </c>
      <c r="D2042" s="75">
        <f ca="1">IFERROR(__xludf.DUMMYFUNCTION("""COMPUTED_VALUE"""),200)</f>
        <v>200</v>
      </c>
      <c r="E2042" s="76">
        <f ca="1">IFERROR(__xludf.DUMMYFUNCTION("""COMPUTED_VALUE"""),750)</f>
        <v>750</v>
      </c>
      <c r="F2042" s="77">
        <f ca="1">IFERROR(__xludf.DUMMYFUNCTION("""COMPUTED_VALUE"""),20140377)</f>
        <v>20140377</v>
      </c>
      <c r="G2042" s="77" t="str">
        <f t="shared" ref="G2042:G2296" ca="1" si="8">IF(F2042=A2042,"si","no")</f>
        <v>si</v>
      </c>
    </row>
    <row r="2043" spans="1:7" ht="12.75" x14ac:dyDescent="0.2">
      <c r="A2043" s="62">
        <f ca="1">IFERROR(__xludf.DUMMYFUNCTION("""COMPUTED_VALUE"""),20140258)</f>
        <v>20140258</v>
      </c>
      <c r="B2043" s="62" t="str">
        <f ca="1">IFERROR(__xludf.DUMMYFUNCTION("""COMPUTED_VALUE"""),"A1989 - A1990 - A2159 - A2141 - A2251 - A2289 - A2338 -A2337- A2179 -A1707- A1964- A1706 - A1953- A1932 Conector Tipo C")</f>
        <v>A1989 - A1990 - A2159 - A2141 - A2251 - A2289 - A2338 -A2337- A2179 -A1707- A1964- A1706 - A1953- A1932 Conector Tipo C</v>
      </c>
      <c r="C2043" s="75">
        <f ca="1">IFERROR(__xludf.DUMMYFUNCTION("""COMPUTED_VALUE"""),150)</f>
        <v>150</v>
      </c>
      <c r="D2043" s="75">
        <f ca="1">IFERROR(__xludf.DUMMYFUNCTION("""COMPUTED_VALUE"""),200)</f>
        <v>200</v>
      </c>
      <c r="E2043" s="76">
        <f ca="1">IFERROR(__xludf.DUMMYFUNCTION("""COMPUTED_VALUE"""),350)</f>
        <v>350</v>
      </c>
      <c r="F2043" s="77">
        <f ca="1">IFERROR(__xludf.DUMMYFUNCTION("""COMPUTED_VALUE"""),20140258)</f>
        <v>20140258</v>
      </c>
      <c r="G2043" s="77" t="str">
        <f t="shared" ca="1" si="8"/>
        <v>si</v>
      </c>
    </row>
    <row r="2044" spans="1:7" ht="12.75" x14ac:dyDescent="0.2">
      <c r="A2044" s="62">
        <f ca="1">IFERROR(__xludf.DUMMYFUNCTION("""COMPUTED_VALUE"""),20140259)</f>
        <v>20140259</v>
      </c>
      <c r="B2044" s="62" t="str">
        <f ca="1">IFERROR(__xludf.DUMMYFUNCTION("""COMPUTED_VALUE"""),"A1990 Conector Tipo C")</f>
        <v>A1990 Conector Tipo C</v>
      </c>
      <c r="C2044" s="75">
        <f ca="1">IFERROR(__xludf.DUMMYFUNCTION("""COMPUTED_VALUE"""),150)</f>
        <v>150</v>
      </c>
      <c r="D2044" s="75">
        <f ca="1">IFERROR(__xludf.DUMMYFUNCTION("""COMPUTED_VALUE"""),100)</f>
        <v>100</v>
      </c>
      <c r="E2044" s="76">
        <f ca="1">IFERROR(__xludf.DUMMYFUNCTION("""COMPUTED_VALUE"""),250)</f>
        <v>250</v>
      </c>
      <c r="F2044" s="77">
        <f ca="1">IFERROR(__xludf.DUMMYFUNCTION("""COMPUTED_VALUE"""),20140259)</f>
        <v>20140259</v>
      </c>
      <c r="G2044" s="77" t="str">
        <f t="shared" ca="1" si="8"/>
        <v>si</v>
      </c>
    </row>
    <row r="2045" spans="1:7" ht="12.75" x14ac:dyDescent="0.2">
      <c r="A2045" s="62">
        <f ca="1">IFERROR(__xludf.DUMMYFUNCTION("""COMPUTED_VALUE"""),20140260)</f>
        <v>20140260</v>
      </c>
      <c r="B2045" s="62" t="str">
        <f ca="1">IFERROR(__xludf.DUMMYFUNCTION("""COMPUTED_VALUE"""),"A2159Conector Tipo C")</f>
        <v>A2159Conector Tipo C</v>
      </c>
      <c r="C2045" s="75">
        <f ca="1">IFERROR(__xludf.DUMMYFUNCTION("""COMPUTED_VALUE"""),150)</f>
        <v>150</v>
      </c>
      <c r="D2045" s="75">
        <f ca="1">IFERROR(__xludf.DUMMYFUNCTION("""COMPUTED_VALUE"""),100)</f>
        <v>100</v>
      </c>
      <c r="E2045" s="76">
        <f ca="1">IFERROR(__xludf.DUMMYFUNCTION("""COMPUTED_VALUE"""),250)</f>
        <v>250</v>
      </c>
      <c r="F2045" s="77">
        <f ca="1">IFERROR(__xludf.DUMMYFUNCTION("""COMPUTED_VALUE"""),20140260)</f>
        <v>20140260</v>
      </c>
      <c r="G2045" s="77" t="str">
        <f t="shared" ca="1" si="8"/>
        <v>si</v>
      </c>
    </row>
    <row r="2046" spans="1:7" ht="12.75" x14ac:dyDescent="0.2">
      <c r="A2046" s="62">
        <f ca="1">IFERROR(__xludf.DUMMYFUNCTION("""COMPUTED_VALUE"""),20140261)</f>
        <v>20140261</v>
      </c>
      <c r="B2046" s="62" t="str">
        <f ca="1">IFERROR(__xludf.DUMMYFUNCTION("""COMPUTED_VALUE"""),"A2141 Conector Tipo C")</f>
        <v>A2141 Conector Tipo C</v>
      </c>
      <c r="C2046" s="75">
        <f ca="1">IFERROR(__xludf.DUMMYFUNCTION("""COMPUTED_VALUE"""),150)</f>
        <v>150</v>
      </c>
      <c r="D2046" s="75">
        <f ca="1">IFERROR(__xludf.DUMMYFUNCTION("""COMPUTED_VALUE"""),100)</f>
        <v>100</v>
      </c>
      <c r="E2046" s="76">
        <f ca="1">IFERROR(__xludf.DUMMYFUNCTION("""COMPUTED_VALUE"""),250)</f>
        <v>250</v>
      </c>
      <c r="F2046" s="77">
        <f ca="1">IFERROR(__xludf.DUMMYFUNCTION("""COMPUTED_VALUE"""),20140261)</f>
        <v>20140261</v>
      </c>
      <c r="G2046" s="77" t="str">
        <f t="shared" ca="1" si="8"/>
        <v>si</v>
      </c>
    </row>
    <row r="2047" spans="1:7" ht="12.75" x14ac:dyDescent="0.2">
      <c r="A2047" s="62">
        <f ca="1">IFERROR(__xludf.DUMMYFUNCTION("""COMPUTED_VALUE"""),20140262)</f>
        <v>20140262</v>
      </c>
      <c r="B2047" s="62" t="str">
        <f ca="1">IFERROR(__xludf.DUMMYFUNCTION("""COMPUTED_VALUE"""),"A2251 Conector Tipo C")</f>
        <v>A2251 Conector Tipo C</v>
      </c>
      <c r="C2047" s="75">
        <f ca="1">IFERROR(__xludf.DUMMYFUNCTION("""COMPUTED_VALUE"""),150)</f>
        <v>150</v>
      </c>
      <c r="D2047" s="75">
        <f ca="1">IFERROR(__xludf.DUMMYFUNCTION("""COMPUTED_VALUE"""),100)</f>
        <v>100</v>
      </c>
      <c r="E2047" s="76">
        <f ca="1">IFERROR(__xludf.DUMMYFUNCTION("""COMPUTED_VALUE"""),250)</f>
        <v>250</v>
      </c>
      <c r="F2047" s="77">
        <f ca="1">IFERROR(__xludf.DUMMYFUNCTION("""COMPUTED_VALUE"""),20140262)</f>
        <v>20140262</v>
      </c>
      <c r="G2047" s="77" t="str">
        <f t="shared" ca="1" si="8"/>
        <v>si</v>
      </c>
    </row>
    <row r="2048" spans="1:7" ht="12.75" x14ac:dyDescent="0.2">
      <c r="A2048" s="62">
        <f ca="1">IFERROR(__xludf.DUMMYFUNCTION("""COMPUTED_VALUE"""),20140263)</f>
        <v>20140263</v>
      </c>
      <c r="B2048" s="62" t="str">
        <f ca="1">IFERROR(__xludf.DUMMYFUNCTION("""COMPUTED_VALUE"""),"A2289 Conector Tipo C")</f>
        <v>A2289 Conector Tipo C</v>
      </c>
      <c r="C2048" s="75">
        <f ca="1">IFERROR(__xludf.DUMMYFUNCTION("""COMPUTED_VALUE"""),150)</f>
        <v>150</v>
      </c>
      <c r="D2048" s="75">
        <f ca="1">IFERROR(__xludf.DUMMYFUNCTION("""COMPUTED_VALUE"""),100)</f>
        <v>100</v>
      </c>
      <c r="E2048" s="76">
        <f ca="1">IFERROR(__xludf.DUMMYFUNCTION("""COMPUTED_VALUE"""),250)</f>
        <v>250</v>
      </c>
      <c r="F2048" s="77">
        <f ca="1">IFERROR(__xludf.DUMMYFUNCTION("""COMPUTED_VALUE"""),20140263)</f>
        <v>20140263</v>
      </c>
      <c r="G2048" s="77" t="str">
        <f t="shared" ca="1" si="8"/>
        <v>si</v>
      </c>
    </row>
    <row r="2049" spans="1:7" ht="12.75" x14ac:dyDescent="0.2">
      <c r="A2049" s="62">
        <f ca="1">IFERROR(__xludf.DUMMYFUNCTION("""COMPUTED_VALUE"""),20140264)</f>
        <v>20140264</v>
      </c>
      <c r="B2049" s="62" t="str">
        <f ca="1">IFERROR(__xludf.DUMMYFUNCTION("""COMPUTED_VALUE"""),"A2338 Conector Tipo C")</f>
        <v>A2338 Conector Tipo C</v>
      </c>
      <c r="C2049" s="75">
        <f ca="1">IFERROR(__xludf.DUMMYFUNCTION("""COMPUTED_VALUE"""),150)</f>
        <v>150</v>
      </c>
      <c r="D2049" s="75">
        <f ca="1">IFERROR(__xludf.DUMMYFUNCTION("""COMPUTED_VALUE"""),100)</f>
        <v>100</v>
      </c>
      <c r="E2049" s="76">
        <f ca="1">IFERROR(__xludf.DUMMYFUNCTION("""COMPUTED_VALUE"""),250)</f>
        <v>250</v>
      </c>
      <c r="F2049" s="77">
        <f ca="1">IFERROR(__xludf.DUMMYFUNCTION("""COMPUTED_VALUE"""),20140264)</f>
        <v>20140264</v>
      </c>
      <c r="G2049" s="77" t="str">
        <f t="shared" ca="1" si="8"/>
        <v>si</v>
      </c>
    </row>
    <row r="2050" spans="1:7" ht="12.75" x14ac:dyDescent="0.2">
      <c r="A2050" s="62">
        <f ca="1">IFERROR(__xludf.DUMMYFUNCTION("""COMPUTED_VALUE"""),20140266)</f>
        <v>20140266</v>
      </c>
      <c r="B2050" s="62" t="str">
        <f ca="1">IFERROR(__xludf.DUMMYFUNCTION("""COMPUTED_VALUE"""),"A1466/A1369/A1502/A1398/A1706/A1707/A1989/A1990/A2141/A2251/A1932/A2179/A2337/A2338 blacklight chip")</f>
        <v>A1466/A1369/A1502/A1398/A1706/A1707/A1989/A1990/A2141/A2251/A1932/A2179/A2337/A2338 blacklight chip</v>
      </c>
      <c r="C2050" s="75">
        <f ca="1">IFERROR(__xludf.DUMMYFUNCTION("""COMPUTED_VALUE"""),150)</f>
        <v>150</v>
      </c>
      <c r="D2050" s="75">
        <f ca="1">IFERROR(__xludf.DUMMYFUNCTION("""COMPUTED_VALUE"""),400)</f>
        <v>400</v>
      </c>
      <c r="E2050" s="76">
        <f ca="1">IFERROR(__xludf.DUMMYFUNCTION("""COMPUTED_VALUE"""),550)</f>
        <v>550</v>
      </c>
      <c r="F2050" s="77">
        <f ca="1">IFERROR(__xludf.DUMMYFUNCTION("""COMPUTED_VALUE"""),20140266)</f>
        <v>20140266</v>
      </c>
      <c r="G2050" s="77" t="str">
        <f t="shared" ca="1" si="8"/>
        <v>si</v>
      </c>
    </row>
    <row r="2051" spans="1:7" ht="12.75" x14ac:dyDescent="0.2">
      <c r="A2051" s="62">
        <f ca="1">IFERROR(__xludf.DUMMYFUNCTION("""COMPUTED_VALUE"""),20140267)</f>
        <v>20140267</v>
      </c>
      <c r="B2051" s="62" t="str">
        <f ca="1">IFERROR(__xludf.DUMMYFUNCTION("""COMPUTED_VALUE"""),"A1502/A1398/A1706/A1707/A1989/A1990/A2141/A2251/A1932/A2179 blacklight chip")</f>
        <v>A1502/A1398/A1706/A1707/A1989/A1990/A2141/A2251/A1932/A2179 blacklight chip</v>
      </c>
      <c r="C2051" s="75">
        <f ca="1">IFERROR(__xludf.DUMMYFUNCTION("""COMPUTED_VALUE"""),150)</f>
        <v>150</v>
      </c>
      <c r="D2051" s="75">
        <f ca="1">IFERROR(__xludf.DUMMYFUNCTION("""COMPUTED_VALUE"""),400)</f>
        <v>400</v>
      </c>
      <c r="E2051" s="76">
        <f ca="1">IFERROR(__xludf.DUMMYFUNCTION("""COMPUTED_VALUE"""),550)</f>
        <v>550</v>
      </c>
      <c r="F2051" s="77">
        <f ca="1">IFERROR(__xludf.DUMMYFUNCTION("""COMPUTED_VALUE"""),20140267)</f>
        <v>20140267</v>
      </c>
      <c r="G2051" s="77" t="str">
        <f t="shared" ca="1" si="8"/>
        <v>si</v>
      </c>
    </row>
    <row r="2052" spans="1:7" ht="12.75" x14ac:dyDescent="0.2">
      <c r="A2052" s="62">
        <f ca="1">IFERROR(__xludf.DUMMYFUNCTION("""COMPUTED_VALUE"""),20140268)</f>
        <v>20140268</v>
      </c>
      <c r="B2052" s="62" t="str">
        <f ca="1">IFERROR(__xludf.DUMMYFUNCTION("""COMPUTED_VALUE"""),"A2337/A2338 blacklight chip")</f>
        <v>A2337/A2338 blacklight chip</v>
      </c>
      <c r="C2052" s="75">
        <f ca="1">IFERROR(__xludf.DUMMYFUNCTION("""COMPUTED_VALUE"""),150)</f>
        <v>150</v>
      </c>
      <c r="D2052" s="75">
        <f ca="1">IFERROR(__xludf.DUMMYFUNCTION("""COMPUTED_VALUE"""),400)</f>
        <v>400</v>
      </c>
      <c r="E2052" s="76">
        <f ca="1">IFERROR(__xludf.DUMMYFUNCTION("""COMPUTED_VALUE"""),550)</f>
        <v>550</v>
      </c>
      <c r="F2052" s="77">
        <f ca="1">IFERROR(__xludf.DUMMYFUNCTION("""COMPUTED_VALUE"""),20140268)</f>
        <v>20140268</v>
      </c>
      <c r="G2052" s="77" t="str">
        <f t="shared" ca="1" si="8"/>
        <v>si</v>
      </c>
    </row>
    <row r="2053" spans="1:7" ht="12.75" x14ac:dyDescent="0.2">
      <c r="A2053" s="62">
        <f ca="1">IFERROR(__xludf.DUMMYFUNCTION("""COMPUTED_VALUE"""),20140378)</f>
        <v>20140378</v>
      </c>
      <c r="B2053" s="62" t="str">
        <f ca="1">IFERROR(__xludf.DUMMYFUNCTION("""COMPUTED_VALUE"""),"Chip CD3215C00")</f>
        <v>Chip CD3215C00</v>
      </c>
      <c r="C2053" s="75">
        <f ca="1">IFERROR(__xludf.DUMMYFUNCTION("""COMPUTED_VALUE"""),500)</f>
        <v>500</v>
      </c>
      <c r="D2053" s="75">
        <f ca="1">IFERROR(__xludf.DUMMYFUNCTION("""COMPUTED_VALUE"""),200)</f>
        <v>200</v>
      </c>
      <c r="E2053" s="76">
        <f ca="1">IFERROR(__xludf.DUMMYFUNCTION("""COMPUTED_VALUE"""),700)</f>
        <v>700</v>
      </c>
      <c r="F2053" s="77">
        <f ca="1">IFERROR(__xludf.DUMMYFUNCTION("""COMPUTED_VALUE"""),20140378)</f>
        <v>20140378</v>
      </c>
      <c r="G2053" s="77" t="str">
        <f t="shared" ca="1" si="8"/>
        <v>si</v>
      </c>
    </row>
    <row r="2054" spans="1:7" ht="12.75" x14ac:dyDescent="0.2">
      <c r="A2054" s="62">
        <f ca="1">IFERROR(__xludf.DUMMYFUNCTION("""COMPUTED_VALUE"""),20140269)</f>
        <v>20140269</v>
      </c>
      <c r="B2054" s="62" t="str">
        <f ca="1">IFERROR(__xludf.DUMMYFUNCTION("""COMPUTED_VALUE"""),"A1989 256GB  SSD")</f>
        <v>A1989 256GB  SSD</v>
      </c>
      <c r="C2054" s="75">
        <f ca="1">IFERROR(__xludf.DUMMYFUNCTION("""COMPUTED_VALUE"""),600)</f>
        <v>600</v>
      </c>
      <c r="D2054" s="75">
        <f ca="1">IFERROR(__xludf.DUMMYFUNCTION("""COMPUTED_VALUE"""),400)</f>
        <v>400</v>
      </c>
      <c r="E2054" s="76">
        <f ca="1">IFERROR(__xludf.DUMMYFUNCTION("""COMPUTED_VALUE"""),1000)</f>
        <v>1000</v>
      </c>
      <c r="F2054" s="77">
        <f ca="1">IFERROR(__xludf.DUMMYFUNCTION("""COMPUTED_VALUE"""),20140269)</f>
        <v>20140269</v>
      </c>
      <c r="G2054" s="77" t="str">
        <f t="shared" ca="1" si="8"/>
        <v>si</v>
      </c>
    </row>
    <row r="2055" spans="1:7" ht="12.75" x14ac:dyDescent="0.2">
      <c r="A2055" s="62">
        <f ca="1">IFERROR(__xludf.DUMMYFUNCTION("""COMPUTED_VALUE"""),20140270)</f>
        <v>20140270</v>
      </c>
      <c r="B2055" s="62" t="str">
        <f ca="1">IFERROR(__xludf.DUMMYFUNCTION("""COMPUTED_VALUE"""),"A1466 2013-2014 smc 820-3437")</f>
        <v>A1466 2013-2014 smc 820-3437</v>
      </c>
      <c r="C2055" s="75">
        <f ca="1">IFERROR(__xludf.DUMMYFUNCTION("""COMPUTED_VALUE"""),200)</f>
        <v>200</v>
      </c>
      <c r="D2055" s="75">
        <f ca="1">IFERROR(__xludf.DUMMYFUNCTION("""COMPUTED_VALUE"""),400)</f>
        <v>400</v>
      </c>
      <c r="E2055" s="76">
        <f ca="1">IFERROR(__xludf.DUMMYFUNCTION("""COMPUTED_VALUE"""),600)</f>
        <v>600</v>
      </c>
      <c r="F2055" s="77">
        <f ca="1">IFERROR(__xludf.DUMMYFUNCTION("""COMPUTED_VALUE"""),20140270)</f>
        <v>20140270</v>
      </c>
      <c r="G2055" s="77" t="str">
        <f t="shared" ca="1" si="8"/>
        <v>si</v>
      </c>
    </row>
    <row r="2056" spans="1:7" ht="12.75" x14ac:dyDescent="0.2">
      <c r="A2056" s="62">
        <f ca="1">IFERROR(__xludf.DUMMYFUNCTION("""COMPUTED_VALUE"""),20140271)</f>
        <v>20140271</v>
      </c>
      <c r="B2056" s="62" t="str">
        <f ca="1">IFERROR(__xludf.DUMMYFUNCTION("""COMPUTED_VALUE"""),"A1466 2015 smc 820-00165")</f>
        <v>A1466 2015 smc 820-00165</v>
      </c>
      <c r="C2056" s="75">
        <f ca="1">IFERROR(__xludf.DUMMYFUNCTION("""COMPUTED_VALUE"""),200)</f>
        <v>200</v>
      </c>
      <c r="D2056" s="75">
        <f ca="1">IFERROR(__xludf.DUMMYFUNCTION("""COMPUTED_VALUE"""),400)</f>
        <v>400</v>
      </c>
      <c r="E2056" s="76">
        <f ca="1">IFERROR(__xludf.DUMMYFUNCTION("""COMPUTED_VALUE"""),600)</f>
        <v>600</v>
      </c>
      <c r="F2056" s="77">
        <f ca="1">IFERROR(__xludf.DUMMYFUNCTION("""COMPUTED_VALUE"""),20140271)</f>
        <v>20140271</v>
      </c>
      <c r="G2056" s="77" t="str">
        <f t="shared" ca="1" si="8"/>
        <v>si</v>
      </c>
    </row>
    <row r="2057" spans="1:7" ht="12.75" x14ac:dyDescent="0.2">
      <c r="A2057" s="62">
        <f ca="1">IFERROR(__xludf.DUMMYFUNCTION("""COMPUTED_VALUE"""),20140272)</f>
        <v>20140272</v>
      </c>
      <c r="B2057" s="62" t="str">
        <f ca="1">IFERROR(__xludf.DUMMYFUNCTION("""COMPUTED_VALUE"""),"A1502 2013 smc 820-3536")</f>
        <v>A1502 2013 smc 820-3536</v>
      </c>
      <c r="C2057" s="75">
        <f ca="1">IFERROR(__xludf.DUMMYFUNCTION("""COMPUTED_VALUE"""),200)</f>
        <v>200</v>
      </c>
      <c r="D2057" s="75">
        <f ca="1">IFERROR(__xludf.DUMMYFUNCTION("""COMPUTED_VALUE"""),400)</f>
        <v>400</v>
      </c>
      <c r="E2057" s="76">
        <f ca="1">IFERROR(__xludf.DUMMYFUNCTION("""COMPUTED_VALUE"""),600)</f>
        <v>600</v>
      </c>
      <c r="F2057" s="77">
        <f ca="1">IFERROR(__xludf.DUMMYFUNCTION("""COMPUTED_VALUE"""),20140272)</f>
        <v>20140272</v>
      </c>
      <c r="G2057" s="77" t="str">
        <f t="shared" ca="1" si="8"/>
        <v>si</v>
      </c>
    </row>
    <row r="2058" spans="1:7" ht="12.75" x14ac:dyDescent="0.2">
      <c r="A2058" s="62">
        <f ca="1">IFERROR(__xludf.DUMMYFUNCTION("""COMPUTED_VALUE"""),20140273)</f>
        <v>20140273</v>
      </c>
      <c r="B2058" s="62" t="str">
        <f ca="1">IFERROR(__xludf.DUMMYFUNCTION("""COMPUTED_VALUE"""),"A1502 2014 smc 820-3476")</f>
        <v>A1502 2014 smc 820-3476</v>
      </c>
      <c r="C2058" s="75">
        <f ca="1">IFERROR(__xludf.DUMMYFUNCTION("""COMPUTED_VALUE"""),200)</f>
        <v>200</v>
      </c>
      <c r="D2058" s="75">
        <f ca="1">IFERROR(__xludf.DUMMYFUNCTION("""COMPUTED_VALUE"""),400)</f>
        <v>400</v>
      </c>
      <c r="E2058" s="76">
        <f ca="1">IFERROR(__xludf.DUMMYFUNCTION("""COMPUTED_VALUE"""),600)</f>
        <v>600</v>
      </c>
      <c r="F2058" s="77">
        <f ca="1">IFERROR(__xludf.DUMMYFUNCTION("""COMPUTED_VALUE"""),20140273)</f>
        <v>20140273</v>
      </c>
      <c r="G2058" s="77" t="str">
        <f t="shared" ca="1" si="8"/>
        <v>si</v>
      </c>
    </row>
    <row r="2059" spans="1:7" ht="12.75" x14ac:dyDescent="0.2">
      <c r="A2059" s="62">
        <f ca="1">IFERROR(__xludf.DUMMYFUNCTION("""COMPUTED_VALUE"""),20140274)</f>
        <v>20140274</v>
      </c>
      <c r="B2059" s="62" t="str">
        <f ca="1">IFERROR(__xludf.DUMMYFUNCTION("""COMPUTED_VALUE"""),"A1502 2015 smc 820-4924")</f>
        <v>A1502 2015 smc 820-4924</v>
      </c>
      <c r="C2059" s="75">
        <f ca="1">IFERROR(__xludf.DUMMYFUNCTION("""COMPUTED_VALUE"""),200)</f>
        <v>200</v>
      </c>
      <c r="D2059" s="75">
        <f ca="1">IFERROR(__xludf.DUMMYFUNCTION("""COMPUTED_VALUE"""),400)</f>
        <v>400</v>
      </c>
      <c r="E2059" s="76">
        <f ca="1">IFERROR(__xludf.DUMMYFUNCTION("""COMPUTED_VALUE"""),600)</f>
        <v>600</v>
      </c>
      <c r="F2059" s="77">
        <f ca="1">IFERROR(__xludf.DUMMYFUNCTION("""COMPUTED_VALUE"""),20140274)</f>
        <v>20140274</v>
      </c>
      <c r="G2059" s="77" t="str">
        <f t="shared" ca="1" si="8"/>
        <v>si</v>
      </c>
    </row>
    <row r="2060" spans="1:7" ht="12.75" x14ac:dyDescent="0.2">
      <c r="A2060" s="62">
        <f ca="1">IFERROR(__xludf.DUMMYFUNCTION("""COMPUTED_VALUE"""),20140275)</f>
        <v>20140275</v>
      </c>
      <c r="B2060" s="62" t="str">
        <f ca="1">IFERROR(__xludf.DUMMYFUNCTION("""COMPUTED_VALUE"""),"A1398 2012 smc 820-3332")</f>
        <v>A1398 2012 smc 820-3332</v>
      </c>
      <c r="C2060" s="75">
        <f ca="1">IFERROR(__xludf.DUMMYFUNCTION("""COMPUTED_VALUE"""),200)</f>
        <v>200</v>
      </c>
      <c r="D2060" s="75">
        <f ca="1">IFERROR(__xludf.DUMMYFUNCTION("""COMPUTED_VALUE"""),400)</f>
        <v>400</v>
      </c>
      <c r="E2060" s="76">
        <f ca="1">IFERROR(__xludf.DUMMYFUNCTION("""COMPUTED_VALUE"""),600)</f>
        <v>600</v>
      </c>
      <c r="F2060" s="77">
        <f ca="1">IFERROR(__xludf.DUMMYFUNCTION("""COMPUTED_VALUE"""),20140275)</f>
        <v>20140275</v>
      </c>
      <c r="G2060" s="77" t="str">
        <f t="shared" ca="1" si="8"/>
        <v>si</v>
      </c>
    </row>
    <row r="2061" spans="1:7" ht="12.75" x14ac:dyDescent="0.2">
      <c r="A2061" s="62">
        <f ca="1">IFERROR(__xludf.DUMMYFUNCTION("""COMPUTED_VALUE"""),20140276)</f>
        <v>20140276</v>
      </c>
      <c r="B2061" s="62" t="str">
        <f ca="1">IFERROR(__xludf.DUMMYFUNCTION("""COMPUTED_VALUE"""),"A1398 2013-2014 smc 820-3662")</f>
        <v>A1398 2013-2014 smc 820-3662</v>
      </c>
      <c r="C2061" s="75">
        <f ca="1">IFERROR(__xludf.DUMMYFUNCTION("""COMPUTED_VALUE"""),200)</f>
        <v>200</v>
      </c>
      <c r="D2061" s="75">
        <f ca="1">IFERROR(__xludf.DUMMYFUNCTION("""COMPUTED_VALUE"""),400)</f>
        <v>400</v>
      </c>
      <c r="E2061" s="76">
        <f ca="1">IFERROR(__xludf.DUMMYFUNCTION("""COMPUTED_VALUE"""),600)</f>
        <v>600</v>
      </c>
      <c r="F2061" s="77">
        <f ca="1">IFERROR(__xludf.DUMMYFUNCTION("""COMPUTED_VALUE"""),20140276)</f>
        <v>20140276</v>
      </c>
      <c r="G2061" s="77" t="str">
        <f t="shared" ca="1" si="8"/>
        <v>si</v>
      </c>
    </row>
    <row r="2062" spans="1:7" ht="12.75" x14ac:dyDescent="0.2">
      <c r="A2062" s="62">
        <f ca="1">IFERROR(__xludf.DUMMYFUNCTION("""COMPUTED_VALUE"""),20140277)</f>
        <v>20140277</v>
      </c>
      <c r="B2062" s="62" t="str">
        <f ca="1">IFERROR(__xludf.DUMMYFUNCTION("""COMPUTED_VALUE"""),"A1398 2014 smc 820-3787")</f>
        <v>A1398 2014 smc 820-3787</v>
      </c>
      <c r="C2062" s="75">
        <f ca="1">IFERROR(__xludf.DUMMYFUNCTION("""COMPUTED_VALUE"""),200)</f>
        <v>200</v>
      </c>
      <c r="D2062" s="75">
        <f ca="1">IFERROR(__xludf.DUMMYFUNCTION("""COMPUTED_VALUE"""),400)</f>
        <v>400</v>
      </c>
      <c r="E2062" s="76">
        <f ca="1">IFERROR(__xludf.DUMMYFUNCTION("""COMPUTED_VALUE"""),600)</f>
        <v>600</v>
      </c>
      <c r="F2062" s="77">
        <f ca="1">IFERROR(__xludf.DUMMYFUNCTION("""COMPUTED_VALUE"""),20140277)</f>
        <v>20140277</v>
      </c>
      <c r="G2062" s="77" t="str">
        <f t="shared" ca="1" si="8"/>
        <v>si</v>
      </c>
    </row>
    <row r="2063" spans="1:7" ht="12.75" x14ac:dyDescent="0.2">
      <c r="A2063" s="62">
        <f ca="1">IFERROR(__xludf.DUMMYFUNCTION("""COMPUTED_VALUE"""),20140278)</f>
        <v>20140278</v>
      </c>
      <c r="B2063" s="62" t="str">
        <f ca="1">IFERROR(__xludf.DUMMYFUNCTION("""COMPUTED_VALUE"""),"A1398 2015 smc 820-00163/820-00138")</f>
        <v>A1398 2015 smc 820-00163/820-00138</v>
      </c>
      <c r="C2063" s="75">
        <f ca="1">IFERROR(__xludf.DUMMYFUNCTION("""COMPUTED_VALUE"""),200)</f>
        <v>200</v>
      </c>
      <c r="D2063" s="75">
        <f ca="1">IFERROR(__xludf.DUMMYFUNCTION("""COMPUTED_VALUE"""),400)</f>
        <v>400</v>
      </c>
      <c r="E2063" s="76">
        <f ca="1">IFERROR(__xludf.DUMMYFUNCTION("""COMPUTED_VALUE"""),600)</f>
        <v>600</v>
      </c>
      <c r="F2063" s="77">
        <f ca="1">IFERROR(__xludf.DUMMYFUNCTION("""COMPUTED_VALUE"""),20140278)</f>
        <v>20140278</v>
      </c>
      <c r="G2063" s="77" t="str">
        <f t="shared" ca="1" si="8"/>
        <v>si</v>
      </c>
    </row>
    <row r="2064" spans="1:7" ht="12.75" x14ac:dyDescent="0.2">
      <c r="A2064" s="62">
        <f ca="1">IFERROR(__xludf.DUMMYFUNCTION("""COMPUTED_VALUE"""),20140279)</f>
        <v>20140279</v>
      </c>
      <c r="B2064" s="62" t="str">
        <f ca="1">IFERROR(__xludf.DUMMYFUNCTION("""COMPUTED_VALUE"""),"A1706 2016-2017 smc 820-00239/820-00923")</f>
        <v>A1706 2016-2017 smc 820-00239/820-00923</v>
      </c>
      <c r="C2064" s="75">
        <f ca="1">IFERROR(__xludf.DUMMYFUNCTION("""COMPUTED_VALUE"""),200)</f>
        <v>200</v>
      </c>
      <c r="D2064" s="75">
        <f ca="1">IFERROR(__xludf.DUMMYFUNCTION("""COMPUTED_VALUE"""),400)</f>
        <v>400</v>
      </c>
      <c r="E2064" s="76">
        <f ca="1">IFERROR(__xludf.DUMMYFUNCTION("""COMPUTED_VALUE"""),600)</f>
        <v>600</v>
      </c>
      <c r="F2064" s="77">
        <f ca="1">IFERROR(__xludf.DUMMYFUNCTION("""COMPUTED_VALUE"""),20140279)</f>
        <v>20140279</v>
      </c>
      <c r="G2064" s="77" t="str">
        <f t="shared" ca="1" si="8"/>
        <v>si</v>
      </c>
    </row>
    <row r="2065" spans="1:7" ht="12.75" x14ac:dyDescent="0.2">
      <c r="A2065" s="62">
        <f ca="1">IFERROR(__xludf.DUMMYFUNCTION("""COMPUTED_VALUE"""),20140280)</f>
        <v>20140280</v>
      </c>
      <c r="B2065" s="62" t="str">
        <f ca="1">IFERROR(__xludf.DUMMYFUNCTION("""COMPUTED_VALUE"""),"A1708 2016-2017 smc 820-00840/820-00875")</f>
        <v>A1708 2016-2017 smc 820-00840/820-00875</v>
      </c>
      <c r="C2065" s="75">
        <f ca="1">IFERROR(__xludf.DUMMYFUNCTION("""COMPUTED_VALUE"""),200)</f>
        <v>200</v>
      </c>
      <c r="D2065" s="75">
        <f ca="1">IFERROR(__xludf.DUMMYFUNCTION("""COMPUTED_VALUE"""),400)</f>
        <v>400</v>
      </c>
      <c r="E2065" s="76">
        <f ca="1">IFERROR(__xludf.DUMMYFUNCTION("""COMPUTED_VALUE"""),600)</f>
        <v>600</v>
      </c>
      <c r="F2065" s="77">
        <f ca="1">IFERROR(__xludf.DUMMYFUNCTION("""COMPUTED_VALUE"""),20140280)</f>
        <v>20140280</v>
      </c>
      <c r="G2065" s="77" t="str">
        <f t="shared" ca="1" si="8"/>
        <v>si</v>
      </c>
    </row>
    <row r="2066" spans="1:7" ht="12.75" x14ac:dyDescent="0.2">
      <c r="A2066" s="62">
        <f ca="1">IFERROR(__xludf.DUMMYFUNCTION("""COMPUTED_VALUE"""),20140281)</f>
        <v>20140281</v>
      </c>
      <c r="B2066" s="62" t="str">
        <f ca="1">IFERROR(__xludf.DUMMYFUNCTION("""COMPUTED_VALUE"""),"A1707 2016-2017 smc 820-00281/820-00928")</f>
        <v>A1707 2016-2017 smc 820-00281/820-00928</v>
      </c>
      <c r="C2066" s="75">
        <f ca="1">IFERROR(__xludf.DUMMYFUNCTION("""COMPUTED_VALUE"""),200)</f>
        <v>200</v>
      </c>
      <c r="D2066" s="75">
        <f ca="1">IFERROR(__xludf.DUMMYFUNCTION("""COMPUTED_VALUE"""),400)</f>
        <v>400</v>
      </c>
      <c r="E2066" s="76">
        <f ca="1">IFERROR(__xludf.DUMMYFUNCTION("""COMPUTED_VALUE"""),600)</f>
        <v>600</v>
      </c>
      <c r="F2066" s="77">
        <f ca="1">IFERROR(__xludf.DUMMYFUNCTION("""COMPUTED_VALUE"""),20140281)</f>
        <v>20140281</v>
      </c>
      <c r="G2066" s="77" t="str">
        <f t="shared" ca="1" si="8"/>
        <v>si</v>
      </c>
    </row>
    <row r="2067" spans="1:7" ht="12.75" x14ac:dyDescent="0.2">
      <c r="A2067" s="62">
        <f ca="1">IFERROR(__xludf.DUMMYFUNCTION("""COMPUTED_VALUE"""),20140282)</f>
        <v>20140282</v>
      </c>
      <c r="B2067" s="62" t="str">
        <f ca="1">IFERROR(__xludf.DUMMYFUNCTION("""COMPUTED_VALUE"""),"A1932 Boton Touch Macbook")</f>
        <v>A1932 Boton Touch Macbook</v>
      </c>
      <c r="C2067" s="75">
        <f ca="1">IFERROR(__xludf.DUMMYFUNCTION("""COMPUTED_VALUE"""),300)</f>
        <v>300</v>
      </c>
      <c r="D2067" s="75">
        <f ca="1">IFERROR(__xludf.DUMMYFUNCTION("""COMPUTED_VALUE"""),100)</f>
        <v>100</v>
      </c>
      <c r="E2067" s="76">
        <f ca="1">IFERROR(__xludf.DUMMYFUNCTION("""COMPUTED_VALUE"""),400)</f>
        <v>400</v>
      </c>
      <c r="F2067" s="77">
        <f ca="1">IFERROR(__xludf.DUMMYFUNCTION("""COMPUTED_VALUE"""),20140282)</f>
        <v>20140282</v>
      </c>
      <c r="G2067" s="77" t="str">
        <f t="shared" ca="1" si="8"/>
        <v>si</v>
      </c>
    </row>
    <row r="2068" spans="1:7" ht="12.75" x14ac:dyDescent="0.2">
      <c r="A2068" s="62">
        <f ca="1">IFERROR(__xludf.DUMMYFUNCTION("""COMPUTED_VALUE"""),20140283)</f>
        <v>20140283</v>
      </c>
      <c r="B2068" s="62" t="str">
        <f ca="1">IFERROR(__xludf.DUMMYFUNCTION("""COMPUTED_VALUE"""),"A1989 Boton Touch Macbook")</f>
        <v>A1989 Boton Touch Macbook</v>
      </c>
      <c r="C2068" s="75">
        <f ca="1">IFERROR(__xludf.DUMMYFUNCTION("""COMPUTED_VALUE"""),300)</f>
        <v>300</v>
      </c>
      <c r="D2068" s="75">
        <f ca="1">IFERROR(__xludf.DUMMYFUNCTION("""COMPUTED_VALUE"""),100)</f>
        <v>100</v>
      </c>
      <c r="E2068" s="76">
        <f ca="1">IFERROR(__xludf.DUMMYFUNCTION("""COMPUTED_VALUE"""),400)</f>
        <v>400</v>
      </c>
      <c r="F2068" s="77">
        <f ca="1">IFERROR(__xludf.DUMMYFUNCTION("""COMPUTED_VALUE"""),20140283)</f>
        <v>20140283</v>
      </c>
      <c r="G2068" s="77" t="str">
        <f t="shared" ca="1" si="8"/>
        <v>si</v>
      </c>
    </row>
    <row r="2069" spans="1:7" ht="12.75" x14ac:dyDescent="0.2">
      <c r="A2069" s="62">
        <f ca="1">IFERROR(__xludf.DUMMYFUNCTION("""COMPUTED_VALUE"""),20140284)</f>
        <v>20140284</v>
      </c>
      <c r="B2069" s="62" t="str">
        <f ca="1">IFERROR(__xludf.DUMMYFUNCTION("""COMPUTED_VALUE"""),"A1990 Boton Touch Macbook")</f>
        <v>A1990 Boton Touch Macbook</v>
      </c>
      <c r="C2069" s="75">
        <f ca="1">IFERROR(__xludf.DUMMYFUNCTION("""COMPUTED_VALUE"""),300)</f>
        <v>300</v>
      </c>
      <c r="D2069" s="75">
        <f ca="1">IFERROR(__xludf.DUMMYFUNCTION("""COMPUTED_VALUE"""),100)</f>
        <v>100</v>
      </c>
      <c r="E2069" s="76">
        <f ca="1">IFERROR(__xludf.DUMMYFUNCTION("""COMPUTED_VALUE"""),400)</f>
        <v>400</v>
      </c>
      <c r="F2069" s="77">
        <f ca="1">IFERROR(__xludf.DUMMYFUNCTION("""COMPUTED_VALUE"""),20140284)</f>
        <v>20140284</v>
      </c>
      <c r="G2069" s="77" t="str">
        <f t="shared" ca="1" si="8"/>
        <v>si</v>
      </c>
    </row>
    <row r="2070" spans="1:7" ht="12.75" x14ac:dyDescent="0.2">
      <c r="A2070" s="62">
        <f ca="1">IFERROR(__xludf.DUMMYFUNCTION("""COMPUTED_VALUE"""),20140285)</f>
        <v>20140285</v>
      </c>
      <c r="B2070" s="62" t="str">
        <f ca="1">IFERROR(__xludf.DUMMYFUNCTION("""COMPUTED_VALUE"""),"A2159 Boton Touch Macbook")</f>
        <v>A2159 Boton Touch Macbook</v>
      </c>
      <c r="C2070" s="75">
        <f ca="1">IFERROR(__xludf.DUMMYFUNCTION("""COMPUTED_VALUE"""),300)</f>
        <v>300</v>
      </c>
      <c r="D2070" s="75">
        <f ca="1">IFERROR(__xludf.DUMMYFUNCTION("""COMPUTED_VALUE"""),100)</f>
        <v>100</v>
      </c>
      <c r="E2070" s="76">
        <f ca="1">IFERROR(__xludf.DUMMYFUNCTION("""COMPUTED_VALUE"""),400)</f>
        <v>400</v>
      </c>
      <c r="F2070" s="77">
        <f ca="1">IFERROR(__xludf.DUMMYFUNCTION("""COMPUTED_VALUE"""),20140285)</f>
        <v>20140285</v>
      </c>
      <c r="G2070" s="77" t="str">
        <f t="shared" ca="1" si="8"/>
        <v>si</v>
      </c>
    </row>
    <row r="2071" spans="1:7" ht="12.75" x14ac:dyDescent="0.2">
      <c r="A2071" s="62">
        <f ca="1">IFERROR(__xludf.DUMMYFUNCTION("""COMPUTED_VALUE"""),20140286)</f>
        <v>20140286</v>
      </c>
      <c r="B2071" s="62" t="str">
        <f ca="1">IFERROR(__xludf.DUMMYFUNCTION("""COMPUTED_VALUE"""),"A2289 Boton Touch Macbook")</f>
        <v>A2289 Boton Touch Macbook</v>
      </c>
      <c r="C2071" s="75">
        <f ca="1">IFERROR(__xludf.DUMMYFUNCTION("""COMPUTED_VALUE"""),300)</f>
        <v>300</v>
      </c>
      <c r="D2071" s="75">
        <f ca="1">IFERROR(__xludf.DUMMYFUNCTION("""COMPUTED_VALUE"""),100)</f>
        <v>100</v>
      </c>
      <c r="E2071" s="76">
        <f ca="1">IFERROR(__xludf.DUMMYFUNCTION("""COMPUTED_VALUE"""),400)</f>
        <v>400</v>
      </c>
      <c r="F2071" s="77">
        <f ca="1">IFERROR(__xludf.DUMMYFUNCTION("""COMPUTED_VALUE"""),20140286)</f>
        <v>20140286</v>
      </c>
      <c r="G2071" s="77" t="str">
        <f t="shared" ca="1" si="8"/>
        <v>si</v>
      </c>
    </row>
    <row r="2072" spans="1:7" ht="12.75" x14ac:dyDescent="0.2">
      <c r="A2072" s="62">
        <f ca="1">IFERROR(__xludf.DUMMYFUNCTION("""COMPUTED_VALUE"""),20140287)</f>
        <v>20140287</v>
      </c>
      <c r="B2072" s="62" t="str">
        <f ca="1">IFERROR(__xludf.DUMMYFUNCTION("""COMPUTED_VALUE"""),"A2179 Boton Touch Macbook")</f>
        <v>A2179 Boton Touch Macbook</v>
      </c>
      <c r="C2072" s="75">
        <f ca="1">IFERROR(__xludf.DUMMYFUNCTION("""COMPUTED_VALUE"""),300)</f>
        <v>300</v>
      </c>
      <c r="D2072" s="75">
        <f ca="1">IFERROR(__xludf.DUMMYFUNCTION("""COMPUTED_VALUE"""),100)</f>
        <v>100</v>
      </c>
      <c r="E2072" s="76">
        <f ca="1">IFERROR(__xludf.DUMMYFUNCTION("""COMPUTED_VALUE"""),400)</f>
        <v>400</v>
      </c>
      <c r="F2072" s="77">
        <f ca="1">IFERROR(__xludf.DUMMYFUNCTION("""COMPUTED_VALUE"""),20140287)</f>
        <v>20140287</v>
      </c>
      <c r="G2072" s="77" t="str">
        <f t="shared" ca="1" si="8"/>
        <v>si</v>
      </c>
    </row>
    <row r="2073" spans="1:7" ht="12.75" x14ac:dyDescent="0.2">
      <c r="A2073" s="62">
        <f ca="1">IFERROR(__xludf.DUMMYFUNCTION("""COMPUTED_VALUE"""),20140288)</f>
        <v>20140288</v>
      </c>
      <c r="B2073" s="62" t="str">
        <f ca="1">IFERROR(__xludf.DUMMYFUNCTION("""COMPUTED_VALUE"""),"A2251 Boton Touch Macbook")</f>
        <v>A2251 Boton Touch Macbook</v>
      </c>
      <c r="C2073" s="75">
        <f ca="1">IFERROR(__xludf.DUMMYFUNCTION("""COMPUTED_VALUE"""),300)</f>
        <v>300</v>
      </c>
      <c r="D2073" s="75">
        <f ca="1">IFERROR(__xludf.DUMMYFUNCTION("""COMPUTED_VALUE"""),100)</f>
        <v>100</v>
      </c>
      <c r="E2073" s="76">
        <f ca="1">IFERROR(__xludf.DUMMYFUNCTION("""COMPUTED_VALUE"""),400)</f>
        <v>400</v>
      </c>
      <c r="F2073" s="77">
        <f ca="1">IFERROR(__xludf.DUMMYFUNCTION("""COMPUTED_VALUE"""),20140288)</f>
        <v>20140288</v>
      </c>
      <c r="G2073" s="77" t="str">
        <f t="shared" ca="1" si="8"/>
        <v>si</v>
      </c>
    </row>
    <row r="2074" spans="1:7" ht="12.75" x14ac:dyDescent="0.2">
      <c r="A2074" s="62">
        <f ca="1">IFERROR(__xludf.DUMMYFUNCTION("""COMPUTED_VALUE"""),20140290)</f>
        <v>20140290</v>
      </c>
      <c r="B2074" s="62" t="str">
        <f ca="1">IFERROR(__xludf.DUMMYFUNCTION("""COMPUTED_VALUE"""),"A2337 Boton Touch Macbook")</f>
        <v>A2337 Boton Touch Macbook</v>
      </c>
      <c r="C2074" s="75">
        <f ca="1">IFERROR(__xludf.DUMMYFUNCTION("""COMPUTED_VALUE"""),300)</f>
        <v>300</v>
      </c>
      <c r="D2074" s="75">
        <f ca="1">IFERROR(__xludf.DUMMYFUNCTION("""COMPUTED_VALUE"""),100)</f>
        <v>100</v>
      </c>
      <c r="E2074" s="76">
        <f ca="1">IFERROR(__xludf.DUMMYFUNCTION("""COMPUTED_VALUE"""),400)</f>
        <v>400</v>
      </c>
      <c r="F2074" s="77">
        <f ca="1">IFERROR(__xludf.DUMMYFUNCTION("""COMPUTED_VALUE"""),20140290)</f>
        <v>20140290</v>
      </c>
      <c r="G2074" s="77" t="str">
        <f t="shared" ca="1" si="8"/>
        <v>si</v>
      </c>
    </row>
    <row r="2075" spans="1:7" ht="12.75" x14ac:dyDescent="0.2">
      <c r="A2075" s="62">
        <f ca="1">IFERROR(__xludf.DUMMYFUNCTION("""COMPUTED_VALUE"""),20140291)</f>
        <v>20140291</v>
      </c>
      <c r="B2075" s="62" t="str">
        <f ca="1">IFERROR(__xludf.DUMMYFUNCTION("""COMPUTED_VALUE"""),"A2338 Boton Touch Macbook")</f>
        <v>A2338 Boton Touch Macbook</v>
      </c>
      <c r="C2075" s="75">
        <f ca="1">IFERROR(__xludf.DUMMYFUNCTION("""COMPUTED_VALUE"""),300)</f>
        <v>300</v>
      </c>
      <c r="D2075" s="75">
        <f ca="1">IFERROR(__xludf.DUMMYFUNCTION("""COMPUTED_VALUE"""),100)</f>
        <v>100</v>
      </c>
      <c r="E2075" s="76">
        <f ca="1">IFERROR(__xludf.DUMMYFUNCTION("""COMPUTED_VALUE"""),400)</f>
        <v>400</v>
      </c>
      <c r="F2075" s="77">
        <f ca="1">IFERROR(__xludf.DUMMYFUNCTION("""COMPUTED_VALUE"""),20140291)</f>
        <v>20140291</v>
      </c>
      <c r="G2075" s="77" t="str">
        <f t="shared" ca="1" si="8"/>
        <v>si</v>
      </c>
    </row>
    <row r="2076" spans="1:7" ht="12.75" x14ac:dyDescent="0.2">
      <c r="A2076" s="62">
        <f ca="1">IFERROR(__xludf.DUMMYFUNCTION("""COMPUTED_VALUE"""),20140292)</f>
        <v>20140292</v>
      </c>
      <c r="B2076" s="62" t="str">
        <f ca="1">IFERROR(__xludf.DUMMYFUNCTION("""COMPUTED_VALUE"""),"A1990 Cable Boton Touch Macbook")</f>
        <v>A1990 Cable Boton Touch Macbook</v>
      </c>
      <c r="C2076" s="75">
        <f ca="1">IFERROR(__xludf.DUMMYFUNCTION("""COMPUTED_VALUE"""),250)</f>
        <v>250</v>
      </c>
      <c r="D2076" s="75">
        <f ca="1">IFERROR(__xludf.DUMMYFUNCTION("""COMPUTED_VALUE"""),100)</f>
        <v>100</v>
      </c>
      <c r="E2076" s="76">
        <f ca="1">IFERROR(__xludf.DUMMYFUNCTION("""COMPUTED_VALUE"""),350)</f>
        <v>350</v>
      </c>
      <c r="F2076" s="77">
        <f ca="1">IFERROR(__xludf.DUMMYFUNCTION("""COMPUTED_VALUE"""),20140292)</f>
        <v>20140292</v>
      </c>
      <c r="G2076" s="77" t="str">
        <f t="shared" ca="1" si="8"/>
        <v>si</v>
      </c>
    </row>
    <row r="2077" spans="1:7" ht="12.75" x14ac:dyDescent="0.2">
      <c r="A2077" s="62">
        <f ca="1">IFERROR(__xludf.DUMMYFUNCTION("""COMPUTED_VALUE"""),20140293)</f>
        <v>20140293</v>
      </c>
      <c r="B2077" s="62" t="str">
        <f ca="1">IFERROR(__xludf.DUMMYFUNCTION("""COMPUTED_VALUE"""),"A2141 Cable Boton Touch Macbook")</f>
        <v>A2141 Cable Boton Touch Macbook</v>
      </c>
      <c r="C2077" s="75">
        <f ca="1">IFERROR(__xludf.DUMMYFUNCTION("""COMPUTED_VALUE"""),250)</f>
        <v>250</v>
      </c>
      <c r="D2077" s="75">
        <f ca="1">IFERROR(__xludf.DUMMYFUNCTION("""COMPUTED_VALUE"""),100)</f>
        <v>100</v>
      </c>
      <c r="E2077" s="76">
        <f ca="1">IFERROR(__xludf.DUMMYFUNCTION("""COMPUTED_VALUE"""),350)</f>
        <v>350</v>
      </c>
      <c r="F2077" s="77">
        <f ca="1">IFERROR(__xludf.DUMMYFUNCTION("""COMPUTED_VALUE"""),20140293)</f>
        <v>20140293</v>
      </c>
      <c r="G2077" s="77" t="str">
        <f t="shared" ca="1" si="8"/>
        <v>si</v>
      </c>
    </row>
    <row r="2078" spans="1:7" ht="12.75" x14ac:dyDescent="0.2">
      <c r="A2078" s="62">
        <f ca="1">IFERROR(__xludf.DUMMYFUNCTION("""COMPUTED_VALUE"""),10110036)</f>
        <v>10110036</v>
      </c>
      <c r="B2078" s="62" t="str">
        <f ca="1">IFERROR(__xludf.DUMMYFUNCTION("""COMPUTED_VALUE"""),"Telefono Samsung A03 Core 2 + 32")</f>
        <v>Telefono Samsung A03 Core 2 + 32</v>
      </c>
      <c r="C2078" s="75">
        <f ca="1">IFERROR(__xludf.DUMMYFUNCTION("""COMPUTED_VALUE"""),449)</f>
        <v>449</v>
      </c>
      <c r="D2078" s="75">
        <f ca="1">IFERROR(__xludf.DUMMYFUNCTION("""COMPUTED_VALUE"""),50)</f>
        <v>50</v>
      </c>
      <c r="E2078" s="76">
        <f ca="1">IFERROR(__xludf.DUMMYFUNCTION("""COMPUTED_VALUE"""),499)</f>
        <v>499</v>
      </c>
      <c r="F2078" s="77">
        <f ca="1">IFERROR(__xludf.DUMMYFUNCTION("""COMPUTED_VALUE"""),10110036)</f>
        <v>10110036</v>
      </c>
      <c r="G2078" s="77" t="str">
        <f t="shared" ca="1" si="8"/>
        <v>si</v>
      </c>
    </row>
    <row r="2079" spans="1:7" ht="12.75" x14ac:dyDescent="0.2">
      <c r="A2079" s="62">
        <f ca="1">IFERROR(__xludf.DUMMYFUNCTION("""COMPUTED_VALUE"""),10110037)</f>
        <v>10110037</v>
      </c>
      <c r="B2079" s="62" t="str">
        <f ca="1">IFERROR(__xludf.DUMMYFUNCTION("""COMPUTED_VALUE"""),"Telefono Samsung A03  3 + 32")</f>
        <v>Telefono Samsung A03  3 + 32</v>
      </c>
      <c r="C2079" s="75">
        <f ca="1">IFERROR(__xludf.DUMMYFUNCTION("""COMPUTED_VALUE"""),490)</f>
        <v>490</v>
      </c>
      <c r="D2079" s="75">
        <f ca="1">IFERROR(__xludf.DUMMYFUNCTION("""COMPUTED_VALUE"""),50)</f>
        <v>50</v>
      </c>
      <c r="E2079" s="76">
        <f ca="1">IFERROR(__xludf.DUMMYFUNCTION("""COMPUTED_VALUE"""),540)</f>
        <v>540</v>
      </c>
      <c r="F2079" s="77">
        <f ca="1">IFERROR(__xludf.DUMMYFUNCTION("""COMPUTED_VALUE"""),10110037)</f>
        <v>10110037</v>
      </c>
      <c r="G2079" s="77" t="str">
        <f t="shared" ca="1" si="8"/>
        <v>si</v>
      </c>
    </row>
    <row r="2080" spans="1:7" ht="12.75" x14ac:dyDescent="0.2">
      <c r="A2080" s="62">
        <f ca="1">IFERROR(__xludf.DUMMYFUNCTION("""COMPUTED_VALUE"""),10160244)</f>
        <v>10160244</v>
      </c>
      <c r="B2080" s="62" t="str">
        <f ca="1">IFERROR(__xludf.DUMMYFUNCTION("""COMPUTED_VALUE"""),"Samsung Volumen Flex Cable A11")</f>
        <v>Samsung Volumen Flex Cable A11</v>
      </c>
      <c r="C2080" s="75">
        <f ca="1">IFERROR(__xludf.DUMMYFUNCTION("""COMPUTED_VALUE"""),50)</f>
        <v>50</v>
      </c>
      <c r="D2080" s="75">
        <f ca="1">IFERROR(__xludf.DUMMYFUNCTION("""COMPUTED_VALUE"""),50)</f>
        <v>50</v>
      </c>
      <c r="E2080" s="76">
        <f ca="1">IFERROR(__xludf.DUMMYFUNCTION("""COMPUTED_VALUE"""),100)</f>
        <v>100</v>
      </c>
      <c r="F2080" s="77">
        <f ca="1">IFERROR(__xludf.DUMMYFUNCTION("""COMPUTED_VALUE"""),10160244)</f>
        <v>10160244</v>
      </c>
      <c r="G2080" s="77" t="str">
        <f t="shared" ca="1" si="8"/>
        <v>si</v>
      </c>
    </row>
    <row r="2081" spans="1:7" ht="12.75" x14ac:dyDescent="0.2">
      <c r="A2081" s="62">
        <f ca="1">IFERROR(__xludf.DUMMYFUNCTION("""COMPUTED_VALUE"""),10160245)</f>
        <v>10160245</v>
      </c>
      <c r="B2081" s="62" t="str">
        <f ca="1">IFERROR(__xludf.DUMMYFUNCTION("""COMPUTED_VALUE"""),"Samsung Volumen Flex Cable A31")</f>
        <v>Samsung Volumen Flex Cable A31</v>
      </c>
      <c r="C2081" s="75">
        <f ca="1">IFERROR(__xludf.DUMMYFUNCTION("""COMPUTED_VALUE"""),50)</f>
        <v>50</v>
      </c>
      <c r="D2081" s="75">
        <f ca="1">IFERROR(__xludf.DUMMYFUNCTION("""COMPUTED_VALUE"""),50)</f>
        <v>50</v>
      </c>
      <c r="E2081" s="76">
        <f ca="1">IFERROR(__xludf.DUMMYFUNCTION("""COMPUTED_VALUE"""),100)</f>
        <v>100</v>
      </c>
      <c r="F2081" s="77">
        <f ca="1">IFERROR(__xludf.DUMMYFUNCTION("""COMPUTED_VALUE"""),10160245)</f>
        <v>10160245</v>
      </c>
      <c r="G2081" s="77" t="str">
        <f t="shared" ca="1" si="8"/>
        <v>si</v>
      </c>
    </row>
    <row r="2082" spans="1:7" ht="12.75" x14ac:dyDescent="0.2">
      <c r="A2082" s="62">
        <f ca="1">IFERROR(__xludf.DUMMYFUNCTION("""COMPUTED_VALUE"""),10160246)</f>
        <v>10160246</v>
      </c>
      <c r="B2082" s="62" t="str">
        <f ca="1">IFERROR(__xludf.DUMMYFUNCTION("""COMPUTED_VALUE"""),"Samsung Volumen Flex Cable A50")</f>
        <v>Samsung Volumen Flex Cable A50</v>
      </c>
      <c r="C2082" s="75">
        <f ca="1">IFERROR(__xludf.DUMMYFUNCTION("""COMPUTED_VALUE"""),50)</f>
        <v>50</v>
      </c>
      <c r="D2082" s="75">
        <f ca="1">IFERROR(__xludf.DUMMYFUNCTION("""COMPUTED_VALUE"""),50)</f>
        <v>50</v>
      </c>
      <c r="E2082" s="76">
        <f ca="1">IFERROR(__xludf.DUMMYFUNCTION("""COMPUTED_VALUE"""),100)</f>
        <v>100</v>
      </c>
      <c r="F2082" s="77">
        <f ca="1">IFERROR(__xludf.DUMMYFUNCTION("""COMPUTED_VALUE"""),10160246)</f>
        <v>10160246</v>
      </c>
      <c r="G2082" s="77" t="str">
        <f t="shared" ca="1" si="8"/>
        <v>si</v>
      </c>
    </row>
    <row r="2083" spans="1:7" ht="12.75" x14ac:dyDescent="0.2">
      <c r="A2083" s="62">
        <f ca="1">IFERROR(__xludf.DUMMYFUNCTION("""COMPUTED_VALUE"""),10160247)</f>
        <v>10160247</v>
      </c>
      <c r="B2083" s="62" t="str">
        <f ca="1">IFERROR(__xludf.DUMMYFUNCTION("""COMPUTED_VALUE"""),"Samsung Volumen Flex Cable Note 20 Ultra")</f>
        <v>Samsung Volumen Flex Cable Note 20 Ultra</v>
      </c>
      <c r="C2083" s="75">
        <f ca="1">IFERROR(__xludf.DUMMYFUNCTION("""COMPUTED_VALUE"""),50)</f>
        <v>50</v>
      </c>
      <c r="D2083" s="75">
        <f ca="1">IFERROR(__xludf.DUMMYFUNCTION("""COMPUTED_VALUE"""),50)</f>
        <v>50</v>
      </c>
      <c r="E2083" s="76">
        <f ca="1">IFERROR(__xludf.DUMMYFUNCTION("""COMPUTED_VALUE"""),100)</f>
        <v>100</v>
      </c>
      <c r="F2083" s="77">
        <f ca="1">IFERROR(__xludf.DUMMYFUNCTION("""COMPUTED_VALUE"""),10160247)</f>
        <v>10160247</v>
      </c>
      <c r="G2083" s="77" t="str">
        <f t="shared" ca="1" si="8"/>
        <v>si</v>
      </c>
    </row>
    <row r="2084" spans="1:7" ht="12.75" x14ac:dyDescent="0.2">
      <c r="A2084" s="62">
        <f ca="1">IFERROR(__xludf.DUMMYFUNCTION("""COMPUTED_VALUE"""),10160248)</f>
        <v>10160248</v>
      </c>
      <c r="B2084" s="62" t="str">
        <f ca="1">IFERROR(__xludf.DUMMYFUNCTION("""COMPUTED_VALUE"""),"Samsung Volumen Flex Cable Note 10 Plus")</f>
        <v>Samsung Volumen Flex Cable Note 10 Plus</v>
      </c>
      <c r="C2084" s="75">
        <f ca="1">IFERROR(__xludf.DUMMYFUNCTION("""COMPUTED_VALUE"""),50)</f>
        <v>50</v>
      </c>
      <c r="D2084" s="75">
        <f ca="1">IFERROR(__xludf.DUMMYFUNCTION("""COMPUTED_VALUE"""),50)</f>
        <v>50</v>
      </c>
      <c r="E2084" s="76">
        <f ca="1">IFERROR(__xludf.DUMMYFUNCTION("""COMPUTED_VALUE"""),100)</f>
        <v>100</v>
      </c>
      <c r="F2084" s="77">
        <f ca="1">IFERROR(__xludf.DUMMYFUNCTION("""COMPUTED_VALUE"""),10160248)</f>
        <v>10160248</v>
      </c>
      <c r="G2084" s="77" t="str">
        <f t="shared" ca="1" si="8"/>
        <v>si</v>
      </c>
    </row>
    <row r="2085" spans="1:7" ht="12.75" x14ac:dyDescent="0.2">
      <c r="A2085" s="62">
        <f ca="1">IFERROR(__xludf.DUMMYFUNCTION("""COMPUTED_VALUE"""),10160249)</f>
        <v>10160249</v>
      </c>
      <c r="B2085" s="62" t="str">
        <f ca="1">IFERROR(__xludf.DUMMYFUNCTION("""COMPUTED_VALUE"""),"Samsung Volumen Flex Cable S10 Plus")</f>
        <v>Samsung Volumen Flex Cable S10 Plus</v>
      </c>
      <c r="C2085" s="75">
        <f ca="1">IFERROR(__xludf.DUMMYFUNCTION("""COMPUTED_VALUE"""),50)</f>
        <v>50</v>
      </c>
      <c r="D2085" s="75">
        <f ca="1">IFERROR(__xludf.DUMMYFUNCTION("""COMPUTED_VALUE"""),50)</f>
        <v>50</v>
      </c>
      <c r="E2085" s="76">
        <f ca="1">IFERROR(__xludf.DUMMYFUNCTION("""COMPUTED_VALUE"""),100)</f>
        <v>100</v>
      </c>
      <c r="F2085" s="77">
        <f ca="1">IFERROR(__xludf.DUMMYFUNCTION("""COMPUTED_VALUE"""),10160249)</f>
        <v>10160249</v>
      </c>
      <c r="G2085" s="77" t="str">
        <f t="shared" ca="1" si="8"/>
        <v>si</v>
      </c>
    </row>
    <row r="2086" spans="1:7" ht="12.75" x14ac:dyDescent="0.2">
      <c r="A2086" s="62">
        <f ca="1">IFERROR(__xludf.DUMMYFUNCTION("""COMPUTED_VALUE"""),10160250)</f>
        <v>10160250</v>
      </c>
      <c r="B2086" s="62" t="str">
        <f ca="1">IFERROR(__xludf.DUMMYFUNCTION("""COMPUTED_VALUE"""),"Samsung Volumen Flex Cable S10  ")</f>
        <v xml:space="preserve">Samsung Volumen Flex Cable S10  </v>
      </c>
      <c r="C2086" s="75">
        <f ca="1">IFERROR(__xludf.DUMMYFUNCTION("""COMPUTED_VALUE"""),50)</f>
        <v>50</v>
      </c>
      <c r="D2086" s="75">
        <f ca="1">IFERROR(__xludf.DUMMYFUNCTION("""COMPUTED_VALUE"""),50)</f>
        <v>50</v>
      </c>
      <c r="E2086" s="76">
        <f ca="1">IFERROR(__xludf.DUMMYFUNCTION("""COMPUTED_VALUE"""),100)</f>
        <v>100</v>
      </c>
      <c r="F2086" s="77">
        <f ca="1">IFERROR(__xludf.DUMMYFUNCTION("""COMPUTED_VALUE"""),10160250)</f>
        <v>10160250</v>
      </c>
      <c r="G2086" s="77" t="str">
        <f t="shared" ca="1" si="8"/>
        <v>si</v>
      </c>
    </row>
    <row r="2087" spans="1:7" ht="12.75" x14ac:dyDescent="0.2">
      <c r="A2087" s="62">
        <f ca="1">IFERROR(__xludf.DUMMYFUNCTION("""COMPUTED_VALUE"""),10160251)</f>
        <v>10160251</v>
      </c>
      <c r="B2087" s="62" t="str">
        <f ca="1">IFERROR(__xludf.DUMMYFUNCTION("""COMPUTED_VALUE"""),"Samsung Volumen Flex Cable S20")</f>
        <v>Samsung Volumen Flex Cable S20</v>
      </c>
      <c r="C2087" s="75">
        <f ca="1">IFERROR(__xludf.DUMMYFUNCTION("""COMPUTED_VALUE"""),50)</f>
        <v>50</v>
      </c>
      <c r="D2087" s="75">
        <f ca="1">IFERROR(__xludf.DUMMYFUNCTION("""COMPUTED_VALUE"""),50)</f>
        <v>50</v>
      </c>
      <c r="E2087" s="76">
        <f ca="1">IFERROR(__xludf.DUMMYFUNCTION("""COMPUTED_VALUE"""),100)</f>
        <v>100</v>
      </c>
      <c r="F2087" s="77">
        <f ca="1">IFERROR(__xludf.DUMMYFUNCTION("""COMPUTED_VALUE"""),10160251)</f>
        <v>10160251</v>
      </c>
      <c r="G2087" s="77" t="str">
        <f t="shared" ca="1" si="8"/>
        <v>si</v>
      </c>
    </row>
    <row r="2088" spans="1:7" ht="12.75" x14ac:dyDescent="0.2">
      <c r="A2088" s="62">
        <f ca="1">IFERROR(__xludf.DUMMYFUNCTION("""COMPUTED_VALUE"""),10160252)</f>
        <v>10160252</v>
      </c>
      <c r="B2088" s="62" t="str">
        <f ca="1">IFERROR(__xludf.DUMMYFUNCTION("""COMPUTED_VALUE"""),"Samsung Volumen Flex Cable S20 Plus")</f>
        <v>Samsung Volumen Flex Cable S20 Plus</v>
      </c>
      <c r="C2088" s="75">
        <f ca="1">IFERROR(__xludf.DUMMYFUNCTION("""COMPUTED_VALUE"""),50)</f>
        <v>50</v>
      </c>
      <c r="D2088" s="75">
        <f ca="1">IFERROR(__xludf.DUMMYFUNCTION("""COMPUTED_VALUE"""),50)</f>
        <v>50</v>
      </c>
      <c r="E2088" s="76">
        <f ca="1">IFERROR(__xludf.DUMMYFUNCTION("""COMPUTED_VALUE"""),100)</f>
        <v>100</v>
      </c>
      <c r="F2088" s="77">
        <f ca="1">IFERROR(__xludf.DUMMYFUNCTION("""COMPUTED_VALUE"""),10160252)</f>
        <v>10160252</v>
      </c>
      <c r="G2088" s="77" t="str">
        <f t="shared" ca="1" si="8"/>
        <v>si</v>
      </c>
    </row>
    <row r="2089" spans="1:7" ht="12.75" x14ac:dyDescent="0.2">
      <c r="A2089" s="62">
        <f ca="1">IFERROR(__xludf.DUMMYFUNCTION("""COMPUTED_VALUE"""),10160253)</f>
        <v>10160253</v>
      </c>
      <c r="B2089" s="62" t="str">
        <f ca="1">IFERROR(__xludf.DUMMYFUNCTION("""COMPUTED_VALUE"""),"Samsung Volumen Flex Cable A20")</f>
        <v>Samsung Volumen Flex Cable A20</v>
      </c>
      <c r="C2089" s="75">
        <f ca="1">IFERROR(__xludf.DUMMYFUNCTION("""COMPUTED_VALUE"""),50)</f>
        <v>50</v>
      </c>
      <c r="D2089" s="75">
        <f ca="1">IFERROR(__xludf.DUMMYFUNCTION("""COMPUTED_VALUE"""),50)</f>
        <v>50</v>
      </c>
      <c r="E2089" s="76">
        <f ca="1">IFERROR(__xludf.DUMMYFUNCTION("""COMPUTED_VALUE"""),100)</f>
        <v>100</v>
      </c>
      <c r="F2089" s="77">
        <f ca="1">IFERROR(__xludf.DUMMYFUNCTION("""COMPUTED_VALUE"""),10160253)</f>
        <v>10160253</v>
      </c>
      <c r="G2089" s="77" t="str">
        <f t="shared" ca="1" si="8"/>
        <v>si</v>
      </c>
    </row>
    <row r="2090" spans="1:7" ht="12.75" x14ac:dyDescent="0.2">
      <c r="A2090" s="62">
        <f ca="1">IFERROR(__xludf.DUMMYFUNCTION("""COMPUTED_VALUE"""),10160254)</f>
        <v>10160254</v>
      </c>
      <c r="B2090" s="62" t="str">
        <f ca="1">IFERROR(__xludf.DUMMYFUNCTION("""COMPUTED_VALUE"""),"Samsung Volumen Flex Cable A10")</f>
        <v>Samsung Volumen Flex Cable A10</v>
      </c>
      <c r="C2090" s="75">
        <f ca="1">IFERROR(__xludf.DUMMYFUNCTION("""COMPUTED_VALUE"""),50)</f>
        <v>50</v>
      </c>
      <c r="D2090" s="75">
        <f ca="1">IFERROR(__xludf.DUMMYFUNCTION("""COMPUTED_VALUE"""),50)</f>
        <v>50</v>
      </c>
      <c r="E2090" s="76">
        <f ca="1">IFERROR(__xludf.DUMMYFUNCTION("""COMPUTED_VALUE"""),100)</f>
        <v>100</v>
      </c>
      <c r="F2090" s="77">
        <f ca="1">IFERROR(__xludf.DUMMYFUNCTION("""COMPUTED_VALUE"""),10160254)</f>
        <v>10160254</v>
      </c>
      <c r="G2090" s="77" t="str">
        <f t="shared" ca="1" si="8"/>
        <v>si</v>
      </c>
    </row>
    <row r="2091" spans="1:7" ht="12.75" x14ac:dyDescent="0.2">
      <c r="A2091" s="62">
        <f ca="1">IFERROR(__xludf.DUMMYFUNCTION("""COMPUTED_VALUE"""),10160255)</f>
        <v>10160255</v>
      </c>
      <c r="B2091" s="62" t="str">
        <f ca="1">IFERROR(__xludf.DUMMYFUNCTION("""COMPUTED_VALUE"""),"Samsung Volumen Flex Cable A10s")</f>
        <v>Samsung Volumen Flex Cable A10s</v>
      </c>
      <c r="C2091" s="75">
        <f ca="1">IFERROR(__xludf.DUMMYFUNCTION("""COMPUTED_VALUE"""),50)</f>
        <v>50</v>
      </c>
      <c r="D2091" s="75">
        <f ca="1">IFERROR(__xludf.DUMMYFUNCTION("""COMPUTED_VALUE"""),50)</f>
        <v>50</v>
      </c>
      <c r="E2091" s="76">
        <f ca="1">IFERROR(__xludf.DUMMYFUNCTION("""COMPUTED_VALUE"""),100)</f>
        <v>100</v>
      </c>
      <c r="F2091" s="77">
        <f ca="1">IFERROR(__xludf.DUMMYFUNCTION("""COMPUTED_VALUE"""),10160255)</f>
        <v>10160255</v>
      </c>
      <c r="G2091" s="77" t="str">
        <f t="shared" ca="1" si="8"/>
        <v>si</v>
      </c>
    </row>
    <row r="2092" spans="1:7" ht="12.75" x14ac:dyDescent="0.2">
      <c r="A2092" s="62">
        <f ca="1">IFERROR(__xludf.DUMMYFUNCTION("""COMPUTED_VALUE"""),10160256)</f>
        <v>10160256</v>
      </c>
      <c r="B2092" s="62" t="str">
        <f ca="1">IFERROR(__xludf.DUMMYFUNCTION("""COMPUTED_VALUE"""),"Samsung Volumen Flex Cable A30")</f>
        <v>Samsung Volumen Flex Cable A30</v>
      </c>
      <c r="C2092" s="75">
        <f ca="1">IFERROR(__xludf.DUMMYFUNCTION("""COMPUTED_VALUE"""),50)</f>
        <v>50</v>
      </c>
      <c r="D2092" s="75">
        <f ca="1">IFERROR(__xludf.DUMMYFUNCTION("""COMPUTED_VALUE"""),50)</f>
        <v>50</v>
      </c>
      <c r="E2092" s="76">
        <f ca="1">IFERROR(__xludf.DUMMYFUNCTION("""COMPUTED_VALUE"""),100)</f>
        <v>100</v>
      </c>
      <c r="F2092" s="77">
        <f ca="1">IFERROR(__xludf.DUMMYFUNCTION("""COMPUTED_VALUE"""),10160256)</f>
        <v>10160256</v>
      </c>
      <c r="G2092" s="77" t="str">
        <f t="shared" ca="1" si="8"/>
        <v>si</v>
      </c>
    </row>
    <row r="2093" spans="1:7" ht="12.75" x14ac:dyDescent="0.2">
      <c r="A2093" s="62">
        <f ca="1">IFERROR(__xludf.DUMMYFUNCTION("""COMPUTED_VALUE"""),10160257)</f>
        <v>10160257</v>
      </c>
      <c r="B2093" s="62" t="str">
        <f ca="1">IFERROR(__xludf.DUMMYFUNCTION("""COMPUTED_VALUE"""),"Samsung Volumen Flex Cable A30s")</f>
        <v>Samsung Volumen Flex Cable A30s</v>
      </c>
      <c r="C2093" s="75">
        <f ca="1">IFERROR(__xludf.DUMMYFUNCTION("""COMPUTED_VALUE"""),50)</f>
        <v>50</v>
      </c>
      <c r="D2093" s="75">
        <f ca="1">IFERROR(__xludf.DUMMYFUNCTION("""COMPUTED_VALUE"""),50)</f>
        <v>50</v>
      </c>
      <c r="E2093" s="76">
        <f ca="1">IFERROR(__xludf.DUMMYFUNCTION("""COMPUTED_VALUE"""),100)</f>
        <v>100</v>
      </c>
      <c r="F2093" s="77">
        <f ca="1">IFERROR(__xludf.DUMMYFUNCTION("""COMPUTED_VALUE"""),10160257)</f>
        <v>10160257</v>
      </c>
      <c r="G2093" s="77" t="str">
        <f t="shared" ca="1" si="8"/>
        <v>si</v>
      </c>
    </row>
    <row r="2094" spans="1:7" ht="12.75" x14ac:dyDescent="0.2">
      <c r="A2094" s="62">
        <f ca="1">IFERROR(__xludf.DUMMYFUNCTION("""COMPUTED_VALUE"""),10160258)</f>
        <v>10160258</v>
      </c>
      <c r="B2094" s="62" t="str">
        <f ca="1">IFERROR(__xludf.DUMMYFUNCTION("""COMPUTED_VALUE"""),"Samsung Volumen Flex Cable A70")</f>
        <v>Samsung Volumen Flex Cable A70</v>
      </c>
      <c r="C2094" s="75">
        <f ca="1">IFERROR(__xludf.DUMMYFUNCTION("""COMPUTED_VALUE"""),50)</f>
        <v>50</v>
      </c>
      <c r="D2094" s="75">
        <f ca="1">IFERROR(__xludf.DUMMYFUNCTION("""COMPUTED_VALUE"""),50)</f>
        <v>50</v>
      </c>
      <c r="E2094" s="76">
        <f ca="1">IFERROR(__xludf.DUMMYFUNCTION("""COMPUTED_VALUE"""),100)</f>
        <v>100</v>
      </c>
      <c r="F2094" s="77">
        <f ca="1">IFERROR(__xludf.DUMMYFUNCTION("""COMPUTED_VALUE"""),10160258)</f>
        <v>10160258</v>
      </c>
      <c r="G2094" s="77" t="str">
        <f t="shared" ca="1" si="8"/>
        <v>si</v>
      </c>
    </row>
    <row r="2095" spans="1:7" ht="12.75" x14ac:dyDescent="0.2">
      <c r="A2095" s="62">
        <f ca="1">IFERROR(__xludf.DUMMYFUNCTION("""COMPUTED_VALUE"""),10160259)</f>
        <v>10160259</v>
      </c>
      <c r="B2095" s="62" t="str">
        <f ca="1">IFERROR(__xludf.DUMMYFUNCTION("""COMPUTED_VALUE"""),"Samsung Volumen Flex Cable A80")</f>
        <v>Samsung Volumen Flex Cable A80</v>
      </c>
      <c r="C2095" s="75">
        <f ca="1">IFERROR(__xludf.DUMMYFUNCTION("""COMPUTED_VALUE"""),50)</f>
        <v>50</v>
      </c>
      <c r="D2095" s="75">
        <f ca="1">IFERROR(__xludf.DUMMYFUNCTION("""COMPUTED_VALUE"""),50)</f>
        <v>50</v>
      </c>
      <c r="E2095" s="76">
        <f ca="1">IFERROR(__xludf.DUMMYFUNCTION("""COMPUTED_VALUE"""),100)</f>
        <v>100</v>
      </c>
      <c r="F2095" s="77">
        <f ca="1">IFERROR(__xludf.DUMMYFUNCTION("""COMPUTED_VALUE"""),10160259)</f>
        <v>10160259</v>
      </c>
      <c r="G2095" s="77" t="str">
        <f t="shared" ca="1" si="8"/>
        <v>si</v>
      </c>
    </row>
    <row r="2096" spans="1:7" ht="12.75" x14ac:dyDescent="0.2">
      <c r="A2096" s="62">
        <f ca="1">IFERROR(__xludf.DUMMYFUNCTION("""COMPUTED_VALUE"""),10160260)</f>
        <v>10160260</v>
      </c>
      <c r="B2096" s="62" t="str">
        <f ca="1">IFERROR(__xludf.DUMMYFUNCTION("""COMPUTED_VALUE"""),"Samsung Volumen Flex Cable S8")</f>
        <v>Samsung Volumen Flex Cable S8</v>
      </c>
      <c r="C2096" s="75">
        <f ca="1">IFERROR(__xludf.DUMMYFUNCTION("""COMPUTED_VALUE"""),50)</f>
        <v>50</v>
      </c>
      <c r="D2096" s="75">
        <f ca="1">IFERROR(__xludf.DUMMYFUNCTION("""COMPUTED_VALUE"""),50)</f>
        <v>50</v>
      </c>
      <c r="E2096" s="76">
        <f ca="1">IFERROR(__xludf.DUMMYFUNCTION("""COMPUTED_VALUE"""),100)</f>
        <v>100</v>
      </c>
      <c r="F2096" s="77">
        <f ca="1">IFERROR(__xludf.DUMMYFUNCTION("""COMPUTED_VALUE"""),10160260)</f>
        <v>10160260</v>
      </c>
      <c r="G2096" s="77" t="str">
        <f t="shared" ca="1" si="8"/>
        <v>si</v>
      </c>
    </row>
    <row r="2097" spans="1:7" ht="12.75" x14ac:dyDescent="0.2">
      <c r="A2097" s="62">
        <f ca="1">IFERROR(__xludf.DUMMYFUNCTION("""COMPUTED_VALUE"""),10160261)</f>
        <v>10160261</v>
      </c>
      <c r="B2097" s="62" t="str">
        <f ca="1">IFERROR(__xludf.DUMMYFUNCTION("""COMPUTED_VALUE"""),"Samsung Volumen Flex Cable S8Plus")</f>
        <v>Samsung Volumen Flex Cable S8Plus</v>
      </c>
      <c r="C2097" s="75">
        <f ca="1">IFERROR(__xludf.DUMMYFUNCTION("""COMPUTED_VALUE"""),50)</f>
        <v>50</v>
      </c>
      <c r="D2097" s="75">
        <f ca="1">IFERROR(__xludf.DUMMYFUNCTION("""COMPUTED_VALUE"""),50)</f>
        <v>50</v>
      </c>
      <c r="E2097" s="76">
        <f ca="1">IFERROR(__xludf.DUMMYFUNCTION("""COMPUTED_VALUE"""),100)</f>
        <v>100</v>
      </c>
      <c r="F2097" s="77">
        <f ca="1">IFERROR(__xludf.DUMMYFUNCTION("""COMPUTED_VALUE"""),10160261)</f>
        <v>10160261</v>
      </c>
      <c r="G2097" s="77" t="str">
        <f t="shared" ca="1" si="8"/>
        <v>si</v>
      </c>
    </row>
    <row r="2098" spans="1:7" ht="12.75" x14ac:dyDescent="0.2">
      <c r="A2098" s="62">
        <f ca="1">IFERROR(__xludf.DUMMYFUNCTION("""COMPUTED_VALUE"""),10160262)</f>
        <v>10160262</v>
      </c>
      <c r="B2098" s="62" t="str">
        <f ca="1">IFERROR(__xludf.DUMMYFUNCTION("""COMPUTED_VALUE"""),"Samsung Volumen Flex Cable S9")</f>
        <v>Samsung Volumen Flex Cable S9</v>
      </c>
      <c r="C2098" s="75">
        <f ca="1">IFERROR(__xludf.DUMMYFUNCTION("""COMPUTED_VALUE"""),50)</f>
        <v>50</v>
      </c>
      <c r="D2098" s="75">
        <f ca="1">IFERROR(__xludf.DUMMYFUNCTION("""COMPUTED_VALUE"""),50)</f>
        <v>50</v>
      </c>
      <c r="E2098" s="76">
        <f ca="1">IFERROR(__xludf.DUMMYFUNCTION("""COMPUTED_VALUE"""),100)</f>
        <v>100</v>
      </c>
      <c r="F2098" s="77">
        <f ca="1">IFERROR(__xludf.DUMMYFUNCTION("""COMPUTED_VALUE"""),10160262)</f>
        <v>10160262</v>
      </c>
      <c r="G2098" s="77" t="str">
        <f t="shared" ca="1" si="8"/>
        <v>si</v>
      </c>
    </row>
    <row r="2099" spans="1:7" ht="12.75" x14ac:dyDescent="0.2">
      <c r="A2099" s="62">
        <f ca="1">IFERROR(__xludf.DUMMYFUNCTION("""COMPUTED_VALUE"""),10160263)</f>
        <v>10160263</v>
      </c>
      <c r="B2099" s="62" t="str">
        <f ca="1">IFERROR(__xludf.DUMMYFUNCTION("""COMPUTED_VALUE"""),"Samsung Volumen Flex Cable S9 Plus")</f>
        <v>Samsung Volumen Flex Cable S9 Plus</v>
      </c>
      <c r="C2099" s="75">
        <f ca="1">IFERROR(__xludf.DUMMYFUNCTION("""COMPUTED_VALUE"""),50)</f>
        <v>50</v>
      </c>
      <c r="D2099" s="75">
        <f ca="1">IFERROR(__xludf.DUMMYFUNCTION("""COMPUTED_VALUE"""),50)</f>
        <v>50</v>
      </c>
      <c r="E2099" s="76">
        <f ca="1">IFERROR(__xludf.DUMMYFUNCTION("""COMPUTED_VALUE"""),100)</f>
        <v>100</v>
      </c>
      <c r="F2099" s="77">
        <f ca="1">IFERROR(__xludf.DUMMYFUNCTION("""COMPUTED_VALUE"""),10160263)</f>
        <v>10160263</v>
      </c>
      <c r="G2099" s="77" t="str">
        <f t="shared" ca="1" si="8"/>
        <v>si</v>
      </c>
    </row>
    <row r="2100" spans="1:7" ht="12.75" x14ac:dyDescent="0.2">
      <c r="A2100" s="62">
        <f ca="1">IFERROR(__xludf.DUMMYFUNCTION("""COMPUTED_VALUE"""),10160264)</f>
        <v>10160264</v>
      </c>
      <c r="B2100" s="62" t="str">
        <f ca="1">IFERROR(__xludf.DUMMYFUNCTION("""COMPUTED_VALUE"""),"AURICULAR Samsung A11")</f>
        <v>AURICULAR Samsung A11</v>
      </c>
      <c r="C2100" s="75">
        <f ca="1">IFERROR(__xludf.DUMMYFUNCTION("""COMPUTED_VALUE"""),50)</f>
        <v>50</v>
      </c>
      <c r="D2100" s="75">
        <f ca="1">IFERROR(__xludf.DUMMYFUNCTION("""COMPUTED_VALUE"""),50)</f>
        <v>50</v>
      </c>
      <c r="E2100" s="76">
        <f ca="1">IFERROR(__xludf.DUMMYFUNCTION("""COMPUTED_VALUE"""),100)</f>
        <v>100</v>
      </c>
      <c r="F2100" s="77">
        <f ca="1">IFERROR(__xludf.DUMMYFUNCTION("""COMPUTED_VALUE"""),10160264)</f>
        <v>10160264</v>
      </c>
      <c r="G2100" s="77" t="str">
        <f t="shared" ca="1" si="8"/>
        <v>si</v>
      </c>
    </row>
    <row r="2101" spans="1:7" ht="12.75" x14ac:dyDescent="0.2">
      <c r="A2101" s="62">
        <f ca="1">IFERROR(__xludf.DUMMYFUNCTION("""COMPUTED_VALUE"""),10160265)</f>
        <v>10160265</v>
      </c>
      <c r="B2101" s="62" t="str">
        <f ca="1">IFERROR(__xludf.DUMMYFUNCTION("""COMPUTED_VALUE"""),"AURICULAR Samsung A31")</f>
        <v>AURICULAR Samsung A31</v>
      </c>
      <c r="C2101" s="75">
        <f ca="1">IFERROR(__xludf.DUMMYFUNCTION("""COMPUTED_VALUE"""),50)</f>
        <v>50</v>
      </c>
      <c r="D2101" s="75">
        <f ca="1">IFERROR(__xludf.DUMMYFUNCTION("""COMPUTED_VALUE"""),50)</f>
        <v>50</v>
      </c>
      <c r="E2101" s="76">
        <f ca="1">IFERROR(__xludf.DUMMYFUNCTION("""COMPUTED_VALUE"""),100)</f>
        <v>100</v>
      </c>
      <c r="F2101" s="77">
        <f ca="1">IFERROR(__xludf.DUMMYFUNCTION("""COMPUTED_VALUE"""),10160265)</f>
        <v>10160265</v>
      </c>
      <c r="G2101" s="77" t="str">
        <f t="shared" ca="1" si="8"/>
        <v>si</v>
      </c>
    </row>
    <row r="2102" spans="1:7" ht="12.75" x14ac:dyDescent="0.2">
      <c r="A2102" s="62">
        <f ca="1">IFERROR(__xludf.DUMMYFUNCTION("""COMPUTED_VALUE"""),10160266)</f>
        <v>10160266</v>
      </c>
      <c r="B2102" s="62" t="str">
        <f ca="1">IFERROR(__xludf.DUMMYFUNCTION("""COMPUTED_VALUE"""),"AURICULAR Samsung  A50")</f>
        <v>AURICULAR Samsung  A50</v>
      </c>
      <c r="C2102" s="75">
        <f ca="1">IFERROR(__xludf.DUMMYFUNCTION("""COMPUTED_VALUE"""),50)</f>
        <v>50</v>
      </c>
      <c r="D2102" s="75">
        <f ca="1">IFERROR(__xludf.DUMMYFUNCTION("""COMPUTED_VALUE"""),50)</f>
        <v>50</v>
      </c>
      <c r="E2102" s="76">
        <f ca="1">IFERROR(__xludf.DUMMYFUNCTION("""COMPUTED_VALUE"""),100)</f>
        <v>100</v>
      </c>
      <c r="F2102" s="77">
        <f ca="1">IFERROR(__xludf.DUMMYFUNCTION("""COMPUTED_VALUE"""),10160266)</f>
        <v>10160266</v>
      </c>
      <c r="G2102" s="77" t="str">
        <f t="shared" ca="1" si="8"/>
        <v>si</v>
      </c>
    </row>
    <row r="2103" spans="1:7" ht="12.75" x14ac:dyDescent="0.2">
      <c r="A2103" s="62">
        <f ca="1">IFERROR(__xludf.DUMMYFUNCTION("""COMPUTED_VALUE"""),10160267)</f>
        <v>10160267</v>
      </c>
      <c r="B2103" s="62" t="str">
        <f ca="1">IFERROR(__xludf.DUMMYFUNCTION("""COMPUTED_VALUE"""),"AURICULAR Samsung Note 20 Ultra")</f>
        <v>AURICULAR Samsung Note 20 Ultra</v>
      </c>
      <c r="C2103" s="75">
        <f ca="1">IFERROR(__xludf.DUMMYFUNCTION("""COMPUTED_VALUE"""),50)</f>
        <v>50</v>
      </c>
      <c r="D2103" s="75">
        <f ca="1">IFERROR(__xludf.DUMMYFUNCTION("""COMPUTED_VALUE"""),50)</f>
        <v>50</v>
      </c>
      <c r="E2103" s="76">
        <f ca="1">IFERROR(__xludf.DUMMYFUNCTION("""COMPUTED_VALUE"""),100)</f>
        <v>100</v>
      </c>
      <c r="F2103" s="77">
        <f ca="1">IFERROR(__xludf.DUMMYFUNCTION("""COMPUTED_VALUE"""),10160267)</f>
        <v>10160267</v>
      </c>
      <c r="G2103" s="77" t="str">
        <f t="shared" ca="1" si="8"/>
        <v>si</v>
      </c>
    </row>
    <row r="2104" spans="1:7" ht="12.75" x14ac:dyDescent="0.2">
      <c r="A2104" s="62">
        <f ca="1">IFERROR(__xludf.DUMMYFUNCTION("""COMPUTED_VALUE"""),10160268)</f>
        <v>10160268</v>
      </c>
      <c r="B2104" s="62" t="str">
        <f ca="1">IFERROR(__xludf.DUMMYFUNCTION("""COMPUTED_VALUE"""),"AURICULAR Samsung Note 10 Plus")</f>
        <v>AURICULAR Samsung Note 10 Plus</v>
      </c>
      <c r="C2104" s="75">
        <f ca="1">IFERROR(__xludf.DUMMYFUNCTION("""COMPUTED_VALUE"""),50)</f>
        <v>50</v>
      </c>
      <c r="D2104" s="75">
        <f ca="1">IFERROR(__xludf.DUMMYFUNCTION("""COMPUTED_VALUE"""),50)</f>
        <v>50</v>
      </c>
      <c r="E2104" s="76">
        <f ca="1">IFERROR(__xludf.DUMMYFUNCTION("""COMPUTED_VALUE"""),100)</f>
        <v>100</v>
      </c>
      <c r="F2104" s="77">
        <f ca="1">IFERROR(__xludf.DUMMYFUNCTION("""COMPUTED_VALUE"""),10160268)</f>
        <v>10160268</v>
      </c>
      <c r="G2104" s="77" t="str">
        <f t="shared" ca="1" si="8"/>
        <v>si</v>
      </c>
    </row>
    <row r="2105" spans="1:7" ht="12.75" x14ac:dyDescent="0.2">
      <c r="A2105" s="62">
        <f ca="1">IFERROR(__xludf.DUMMYFUNCTION("""COMPUTED_VALUE"""),10160269)</f>
        <v>10160269</v>
      </c>
      <c r="B2105" s="62" t="str">
        <f ca="1">IFERROR(__xludf.DUMMYFUNCTION("""COMPUTED_VALUE"""),"AURICULAR Samsung S10 Plus")</f>
        <v>AURICULAR Samsung S10 Plus</v>
      </c>
      <c r="C2105" s="75">
        <f ca="1">IFERROR(__xludf.DUMMYFUNCTION("""COMPUTED_VALUE"""),50)</f>
        <v>50</v>
      </c>
      <c r="D2105" s="75">
        <f ca="1">IFERROR(__xludf.DUMMYFUNCTION("""COMPUTED_VALUE"""),50)</f>
        <v>50</v>
      </c>
      <c r="E2105" s="76">
        <f ca="1">IFERROR(__xludf.DUMMYFUNCTION("""COMPUTED_VALUE"""),100)</f>
        <v>100</v>
      </c>
      <c r="F2105" s="77">
        <f ca="1">IFERROR(__xludf.DUMMYFUNCTION("""COMPUTED_VALUE"""),10160269)</f>
        <v>10160269</v>
      </c>
      <c r="G2105" s="77" t="str">
        <f t="shared" ca="1" si="8"/>
        <v>si</v>
      </c>
    </row>
    <row r="2106" spans="1:7" ht="12.75" x14ac:dyDescent="0.2">
      <c r="A2106" s="62">
        <f ca="1">IFERROR(__xludf.DUMMYFUNCTION("""COMPUTED_VALUE"""),10160270)</f>
        <v>10160270</v>
      </c>
      <c r="B2106" s="62" t="str">
        <f ca="1">IFERROR(__xludf.DUMMYFUNCTION("""COMPUTED_VALUE"""),"AURICULAR Samsung S10 ")</f>
        <v xml:space="preserve">AURICULAR Samsung S10 </v>
      </c>
      <c r="C2106" s="75">
        <f ca="1">IFERROR(__xludf.DUMMYFUNCTION("""COMPUTED_VALUE"""),50)</f>
        <v>50</v>
      </c>
      <c r="D2106" s="75">
        <f ca="1">IFERROR(__xludf.DUMMYFUNCTION("""COMPUTED_VALUE"""),50)</f>
        <v>50</v>
      </c>
      <c r="E2106" s="76">
        <f ca="1">IFERROR(__xludf.DUMMYFUNCTION("""COMPUTED_VALUE"""),100)</f>
        <v>100</v>
      </c>
      <c r="F2106" s="77">
        <f ca="1">IFERROR(__xludf.DUMMYFUNCTION("""COMPUTED_VALUE"""),10160270)</f>
        <v>10160270</v>
      </c>
      <c r="G2106" s="77" t="str">
        <f t="shared" ca="1" si="8"/>
        <v>si</v>
      </c>
    </row>
    <row r="2107" spans="1:7" ht="12.75" x14ac:dyDescent="0.2">
      <c r="A2107" s="62">
        <f ca="1">IFERROR(__xludf.DUMMYFUNCTION("""COMPUTED_VALUE"""),10160271)</f>
        <v>10160271</v>
      </c>
      <c r="B2107" s="62" t="str">
        <f ca="1">IFERROR(__xludf.DUMMYFUNCTION("""COMPUTED_VALUE"""),"AURICULAR Samsung S20")</f>
        <v>AURICULAR Samsung S20</v>
      </c>
      <c r="C2107" s="75">
        <f ca="1">IFERROR(__xludf.DUMMYFUNCTION("""COMPUTED_VALUE"""),50)</f>
        <v>50</v>
      </c>
      <c r="D2107" s="75">
        <f ca="1">IFERROR(__xludf.DUMMYFUNCTION("""COMPUTED_VALUE"""),50)</f>
        <v>50</v>
      </c>
      <c r="E2107" s="76">
        <f ca="1">IFERROR(__xludf.DUMMYFUNCTION("""COMPUTED_VALUE"""),100)</f>
        <v>100</v>
      </c>
      <c r="F2107" s="77">
        <f ca="1">IFERROR(__xludf.DUMMYFUNCTION("""COMPUTED_VALUE"""),10160271)</f>
        <v>10160271</v>
      </c>
      <c r="G2107" s="77" t="str">
        <f t="shared" ca="1" si="8"/>
        <v>si</v>
      </c>
    </row>
    <row r="2108" spans="1:7" ht="12.75" x14ac:dyDescent="0.2">
      <c r="A2108" s="62">
        <f ca="1">IFERROR(__xludf.DUMMYFUNCTION("""COMPUTED_VALUE"""),10160272)</f>
        <v>10160272</v>
      </c>
      <c r="B2108" s="62" t="str">
        <f ca="1">IFERROR(__xludf.DUMMYFUNCTION("""COMPUTED_VALUE"""),"AURICULAR Samsung S20 Plus")</f>
        <v>AURICULAR Samsung S20 Plus</v>
      </c>
      <c r="C2108" s="75">
        <f ca="1">IFERROR(__xludf.DUMMYFUNCTION("""COMPUTED_VALUE"""),50)</f>
        <v>50</v>
      </c>
      <c r="D2108" s="75">
        <f ca="1">IFERROR(__xludf.DUMMYFUNCTION("""COMPUTED_VALUE"""),50)</f>
        <v>50</v>
      </c>
      <c r="E2108" s="76">
        <f ca="1">IFERROR(__xludf.DUMMYFUNCTION("""COMPUTED_VALUE"""),100)</f>
        <v>100</v>
      </c>
      <c r="F2108" s="77">
        <f ca="1">IFERROR(__xludf.DUMMYFUNCTION("""COMPUTED_VALUE"""),10160272)</f>
        <v>10160272</v>
      </c>
      <c r="G2108" s="77" t="str">
        <f t="shared" ca="1" si="8"/>
        <v>si</v>
      </c>
    </row>
    <row r="2109" spans="1:7" ht="12.75" x14ac:dyDescent="0.2">
      <c r="A2109" s="62">
        <f ca="1">IFERROR(__xludf.DUMMYFUNCTION("""COMPUTED_VALUE"""),10160273)</f>
        <v>10160273</v>
      </c>
      <c r="B2109" s="62" t="str">
        <f ca="1">IFERROR(__xludf.DUMMYFUNCTION("""COMPUTED_VALUE"""),"AURICULAR Samsung A20")</f>
        <v>AURICULAR Samsung A20</v>
      </c>
      <c r="C2109" s="75">
        <f ca="1">IFERROR(__xludf.DUMMYFUNCTION("""COMPUTED_VALUE"""),50)</f>
        <v>50</v>
      </c>
      <c r="D2109" s="75">
        <f ca="1">IFERROR(__xludf.DUMMYFUNCTION("""COMPUTED_VALUE"""),50)</f>
        <v>50</v>
      </c>
      <c r="E2109" s="76">
        <f ca="1">IFERROR(__xludf.DUMMYFUNCTION("""COMPUTED_VALUE"""),100)</f>
        <v>100</v>
      </c>
      <c r="F2109" s="77">
        <f ca="1">IFERROR(__xludf.DUMMYFUNCTION("""COMPUTED_VALUE"""),10160273)</f>
        <v>10160273</v>
      </c>
      <c r="G2109" s="77" t="str">
        <f t="shared" ca="1" si="8"/>
        <v>si</v>
      </c>
    </row>
    <row r="2110" spans="1:7" ht="12.75" x14ac:dyDescent="0.2">
      <c r="A2110" s="62">
        <f ca="1">IFERROR(__xludf.DUMMYFUNCTION("""COMPUTED_VALUE"""),10160274)</f>
        <v>10160274</v>
      </c>
      <c r="B2110" s="62" t="str">
        <f ca="1">IFERROR(__xludf.DUMMYFUNCTION("""COMPUTED_VALUE"""),"AURICULAR Samsung  A10")</f>
        <v>AURICULAR Samsung  A10</v>
      </c>
      <c r="C2110" s="75">
        <f ca="1">IFERROR(__xludf.DUMMYFUNCTION("""COMPUTED_VALUE"""),50)</f>
        <v>50</v>
      </c>
      <c r="D2110" s="75">
        <f ca="1">IFERROR(__xludf.DUMMYFUNCTION("""COMPUTED_VALUE"""),50)</f>
        <v>50</v>
      </c>
      <c r="E2110" s="76">
        <f ca="1">IFERROR(__xludf.DUMMYFUNCTION("""COMPUTED_VALUE"""),100)</f>
        <v>100</v>
      </c>
      <c r="F2110" s="77">
        <f ca="1">IFERROR(__xludf.DUMMYFUNCTION("""COMPUTED_VALUE"""),10160274)</f>
        <v>10160274</v>
      </c>
      <c r="G2110" s="77" t="str">
        <f t="shared" ca="1" si="8"/>
        <v>si</v>
      </c>
    </row>
    <row r="2111" spans="1:7" ht="12.75" x14ac:dyDescent="0.2">
      <c r="A2111" s="62">
        <f ca="1">IFERROR(__xludf.DUMMYFUNCTION("""COMPUTED_VALUE"""),10160275)</f>
        <v>10160275</v>
      </c>
      <c r="B2111" s="62" t="str">
        <f ca="1">IFERROR(__xludf.DUMMYFUNCTION("""COMPUTED_VALUE"""),"AURICULAR Samsung A10s")</f>
        <v>AURICULAR Samsung A10s</v>
      </c>
      <c r="C2111" s="75">
        <f ca="1">IFERROR(__xludf.DUMMYFUNCTION("""COMPUTED_VALUE"""),50)</f>
        <v>50</v>
      </c>
      <c r="D2111" s="75">
        <f ca="1">IFERROR(__xludf.DUMMYFUNCTION("""COMPUTED_VALUE"""),50)</f>
        <v>50</v>
      </c>
      <c r="E2111" s="76">
        <f ca="1">IFERROR(__xludf.DUMMYFUNCTION("""COMPUTED_VALUE"""),100)</f>
        <v>100</v>
      </c>
      <c r="F2111" s="77">
        <f ca="1">IFERROR(__xludf.DUMMYFUNCTION("""COMPUTED_VALUE"""),10160275)</f>
        <v>10160275</v>
      </c>
      <c r="G2111" s="77" t="str">
        <f t="shared" ca="1" si="8"/>
        <v>si</v>
      </c>
    </row>
    <row r="2112" spans="1:7" ht="12.75" x14ac:dyDescent="0.2">
      <c r="A2112" s="62">
        <f ca="1">IFERROR(__xludf.DUMMYFUNCTION("""COMPUTED_VALUE"""),10160276)</f>
        <v>10160276</v>
      </c>
      <c r="B2112" s="62" t="str">
        <f ca="1">IFERROR(__xludf.DUMMYFUNCTION("""COMPUTED_VALUE"""),"AURICULAR Samsung A30")</f>
        <v>AURICULAR Samsung A30</v>
      </c>
      <c r="C2112" s="75">
        <f ca="1">IFERROR(__xludf.DUMMYFUNCTION("""COMPUTED_VALUE"""),50)</f>
        <v>50</v>
      </c>
      <c r="D2112" s="75">
        <f ca="1">IFERROR(__xludf.DUMMYFUNCTION("""COMPUTED_VALUE"""),50)</f>
        <v>50</v>
      </c>
      <c r="E2112" s="76">
        <f ca="1">IFERROR(__xludf.DUMMYFUNCTION("""COMPUTED_VALUE"""),100)</f>
        <v>100</v>
      </c>
      <c r="F2112" s="77">
        <f ca="1">IFERROR(__xludf.DUMMYFUNCTION("""COMPUTED_VALUE"""),10160276)</f>
        <v>10160276</v>
      </c>
      <c r="G2112" s="77" t="str">
        <f t="shared" ca="1" si="8"/>
        <v>si</v>
      </c>
    </row>
    <row r="2113" spans="1:7" ht="12.75" x14ac:dyDescent="0.2">
      <c r="A2113" s="62">
        <f ca="1">IFERROR(__xludf.DUMMYFUNCTION("""COMPUTED_VALUE"""),10160277)</f>
        <v>10160277</v>
      </c>
      <c r="B2113" s="62" t="str">
        <f ca="1">IFERROR(__xludf.DUMMYFUNCTION("""COMPUTED_VALUE"""),"AURICULAR Samsung A30s")</f>
        <v>AURICULAR Samsung A30s</v>
      </c>
      <c r="C2113" s="75">
        <f ca="1">IFERROR(__xludf.DUMMYFUNCTION("""COMPUTED_VALUE"""),50)</f>
        <v>50</v>
      </c>
      <c r="D2113" s="75">
        <f ca="1">IFERROR(__xludf.DUMMYFUNCTION("""COMPUTED_VALUE"""),50)</f>
        <v>50</v>
      </c>
      <c r="E2113" s="76">
        <f ca="1">IFERROR(__xludf.DUMMYFUNCTION("""COMPUTED_VALUE"""),100)</f>
        <v>100</v>
      </c>
      <c r="F2113" s="77">
        <f ca="1">IFERROR(__xludf.DUMMYFUNCTION("""COMPUTED_VALUE"""),10160277)</f>
        <v>10160277</v>
      </c>
      <c r="G2113" s="77" t="str">
        <f t="shared" ca="1" si="8"/>
        <v>si</v>
      </c>
    </row>
    <row r="2114" spans="1:7" ht="12.75" x14ac:dyDescent="0.2">
      <c r="A2114" s="62">
        <f ca="1">IFERROR(__xludf.DUMMYFUNCTION("""COMPUTED_VALUE"""),10160278)</f>
        <v>10160278</v>
      </c>
      <c r="B2114" s="62" t="str">
        <f ca="1">IFERROR(__xludf.DUMMYFUNCTION("""COMPUTED_VALUE"""),"AURICULAR Samsung A70")</f>
        <v>AURICULAR Samsung A70</v>
      </c>
      <c r="C2114" s="75">
        <f ca="1">IFERROR(__xludf.DUMMYFUNCTION("""COMPUTED_VALUE"""),50)</f>
        <v>50</v>
      </c>
      <c r="D2114" s="75">
        <f ca="1">IFERROR(__xludf.DUMMYFUNCTION("""COMPUTED_VALUE"""),50)</f>
        <v>50</v>
      </c>
      <c r="E2114" s="76">
        <f ca="1">IFERROR(__xludf.DUMMYFUNCTION("""COMPUTED_VALUE"""),100)</f>
        <v>100</v>
      </c>
      <c r="F2114" s="77">
        <f ca="1">IFERROR(__xludf.DUMMYFUNCTION("""COMPUTED_VALUE"""),10160278)</f>
        <v>10160278</v>
      </c>
      <c r="G2114" s="77" t="str">
        <f t="shared" ca="1" si="8"/>
        <v>si</v>
      </c>
    </row>
    <row r="2115" spans="1:7" ht="12.75" x14ac:dyDescent="0.2">
      <c r="A2115" s="62">
        <f ca="1">IFERROR(__xludf.DUMMYFUNCTION("""COMPUTED_VALUE"""),10160279)</f>
        <v>10160279</v>
      </c>
      <c r="B2115" s="62" t="str">
        <f ca="1">IFERROR(__xludf.DUMMYFUNCTION("""COMPUTED_VALUE"""),"AURICULAR Samsung A80")</f>
        <v>AURICULAR Samsung A80</v>
      </c>
      <c r="C2115" s="75">
        <f ca="1">IFERROR(__xludf.DUMMYFUNCTION("""COMPUTED_VALUE"""),50)</f>
        <v>50</v>
      </c>
      <c r="D2115" s="75">
        <f ca="1">IFERROR(__xludf.DUMMYFUNCTION("""COMPUTED_VALUE"""),50)</f>
        <v>50</v>
      </c>
      <c r="E2115" s="76">
        <f ca="1">IFERROR(__xludf.DUMMYFUNCTION("""COMPUTED_VALUE"""),100)</f>
        <v>100</v>
      </c>
      <c r="F2115" s="77">
        <f ca="1">IFERROR(__xludf.DUMMYFUNCTION("""COMPUTED_VALUE"""),10160279)</f>
        <v>10160279</v>
      </c>
      <c r="G2115" s="77" t="str">
        <f t="shared" ca="1" si="8"/>
        <v>si</v>
      </c>
    </row>
    <row r="2116" spans="1:7" ht="12.75" x14ac:dyDescent="0.2">
      <c r="A2116" s="62">
        <f ca="1">IFERROR(__xludf.DUMMYFUNCTION("""COMPUTED_VALUE"""),10160280)</f>
        <v>10160280</v>
      </c>
      <c r="B2116" s="62" t="str">
        <f ca="1">IFERROR(__xludf.DUMMYFUNCTION("""COMPUTED_VALUE"""),"AURICULAR Samsung S8")</f>
        <v>AURICULAR Samsung S8</v>
      </c>
      <c r="C2116" s="75">
        <f ca="1">IFERROR(__xludf.DUMMYFUNCTION("""COMPUTED_VALUE"""),50)</f>
        <v>50</v>
      </c>
      <c r="D2116" s="75">
        <f ca="1">IFERROR(__xludf.DUMMYFUNCTION("""COMPUTED_VALUE"""),50)</f>
        <v>50</v>
      </c>
      <c r="E2116" s="76">
        <f ca="1">IFERROR(__xludf.DUMMYFUNCTION("""COMPUTED_VALUE"""),100)</f>
        <v>100</v>
      </c>
      <c r="F2116" s="77">
        <f ca="1">IFERROR(__xludf.DUMMYFUNCTION("""COMPUTED_VALUE"""),10160280)</f>
        <v>10160280</v>
      </c>
      <c r="G2116" s="77" t="str">
        <f t="shared" ca="1" si="8"/>
        <v>si</v>
      </c>
    </row>
    <row r="2117" spans="1:7" ht="12.75" x14ac:dyDescent="0.2">
      <c r="A2117" s="62">
        <f ca="1">IFERROR(__xludf.DUMMYFUNCTION("""COMPUTED_VALUE"""),10160281)</f>
        <v>10160281</v>
      </c>
      <c r="B2117" s="62" t="str">
        <f ca="1">IFERROR(__xludf.DUMMYFUNCTION("""COMPUTED_VALUE"""),"AURICULAR Samsung S8 Plus")</f>
        <v>AURICULAR Samsung S8 Plus</v>
      </c>
      <c r="C2117" s="75">
        <f ca="1">IFERROR(__xludf.DUMMYFUNCTION("""COMPUTED_VALUE"""),50)</f>
        <v>50</v>
      </c>
      <c r="D2117" s="75">
        <f ca="1">IFERROR(__xludf.DUMMYFUNCTION("""COMPUTED_VALUE"""),50)</f>
        <v>50</v>
      </c>
      <c r="E2117" s="76">
        <f ca="1">IFERROR(__xludf.DUMMYFUNCTION("""COMPUTED_VALUE"""),100)</f>
        <v>100</v>
      </c>
      <c r="F2117" s="77">
        <f ca="1">IFERROR(__xludf.DUMMYFUNCTION("""COMPUTED_VALUE"""),10160281)</f>
        <v>10160281</v>
      </c>
      <c r="G2117" s="77" t="str">
        <f t="shared" ca="1" si="8"/>
        <v>si</v>
      </c>
    </row>
    <row r="2118" spans="1:7" ht="12.75" x14ac:dyDescent="0.2">
      <c r="A2118" s="62">
        <f ca="1">IFERROR(__xludf.DUMMYFUNCTION("""COMPUTED_VALUE"""),10160282)</f>
        <v>10160282</v>
      </c>
      <c r="B2118" s="62" t="str">
        <f ca="1">IFERROR(__xludf.DUMMYFUNCTION("""COMPUTED_VALUE"""),"AURICULAR Samsung S9 ")</f>
        <v xml:space="preserve">AURICULAR Samsung S9 </v>
      </c>
      <c r="C2118" s="75">
        <f ca="1">IFERROR(__xludf.DUMMYFUNCTION("""COMPUTED_VALUE"""),50)</f>
        <v>50</v>
      </c>
      <c r="D2118" s="75">
        <f ca="1">IFERROR(__xludf.DUMMYFUNCTION("""COMPUTED_VALUE"""),50)</f>
        <v>50</v>
      </c>
      <c r="E2118" s="76">
        <f ca="1">IFERROR(__xludf.DUMMYFUNCTION("""COMPUTED_VALUE"""),100)</f>
        <v>100</v>
      </c>
      <c r="F2118" s="77">
        <f ca="1">IFERROR(__xludf.DUMMYFUNCTION("""COMPUTED_VALUE"""),10160282)</f>
        <v>10160282</v>
      </c>
      <c r="G2118" s="77" t="str">
        <f t="shared" ca="1" si="8"/>
        <v>si</v>
      </c>
    </row>
    <row r="2119" spans="1:7" ht="12.75" x14ac:dyDescent="0.2">
      <c r="A2119" s="62">
        <f ca="1">IFERROR(__xludf.DUMMYFUNCTION("""COMPUTED_VALUE"""),10160283)</f>
        <v>10160283</v>
      </c>
      <c r="B2119" s="62" t="str">
        <f ca="1">IFERROR(__xludf.DUMMYFUNCTION("""COMPUTED_VALUE"""),"AURICULAR Samsung S9Plus")</f>
        <v>AURICULAR Samsung S9Plus</v>
      </c>
      <c r="C2119" s="75">
        <f ca="1">IFERROR(__xludf.DUMMYFUNCTION("""COMPUTED_VALUE"""),50)</f>
        <v>50</v>
      </c>
      <c r="D2119" s="75">
        <f ca="1">IFERROR(__xludf.DUMMYFUNCTION("""COMPUTED_VALUE"""),50)</f>
        <v>50</v>
      </c>
      <c r="E2119" s="76">
        <f ca="1">IFERROR(__xludf.DUMMYFUNCTION("""COMPUTED_VALUE"""),100)</f>
        <v>100</v>
      </c>
      <c r="F2119" s="77">
        <f ca="1">IFERROR(__xludf.DUMMYFUNCTION("""COMPUTED_VALUE"""),10160283)</f>
        <v>10160283</v>
      </c>
      <c r="G2119" s="77" t="str">
        <f t="shared" ca="1" si="8"/>
        <v>si</v>
      </c>
    </row>
    <row r="2120" spans="1:7" ht="12.75" x14ac:dyDescent="0.2">
      <c r="A2120" s="62">
        <f ca="1">IFERROR(__xludf.DUMMYFUNCTION("""COMPUTED_VALUE"""),20140299)</f>
        <v>20140299</v>
      </c>
      <c r="B2120" s="62" t="str">
        <f ca="1">IFERROR(__xludf.DUMMYFUNCTION("""COMPUTED_VALUE"""),"Top Case 1989")</f>
        <v>Top Case 1989</v>
      </c>
      <c r="C2120" s="75">
        <f ca="1">IFERROR(__xludf.DUMMYFUNCTION("""COMPUTED_VALUE"""),890)</f>
        <v>890</v>
      </c>
      <c r="D2120" s="75">
        <f ca="1">IFERROR(__xludf.DUMMYFUNCTION("""COMPUTED_VALUE"""),100)</f>
        <v>100</v>
      </c>
      <c r="E2120" s="76">
        <f ca="1">IFERROR(__xludf.DUMMYFUNCTION("""COMPUTED_VALUE"""),990)</f>
        <v>990</v>
      </c>
      <c r="F2120" s="77">
        <f ca="1">IFERROR(__xludf.DUMMYFUNCTION("""COMPUTED_VALUE"""),20140299)</f>
        <v>20140299</v>
      </c>
      <c r="G2120" s="77" t="str">
        <f t="shared" ca="1" si="8"/>
        <v>si</v>
      </c>
    </row>
    <row r="2121" spans="1:7" ht="12.75" x14ac:dyDescent="0.2">
      <c r="A2121" s="62">
        <f ca="1">IFERROR(__xludf.DUMMYFUNCTION("""COMPUTED_VALUE"""),20140300)</f>
        <v>20140300</v>
      </c>
      <c r="B2121" s="62" t="str">
        <f ca="1">IFERROR(__xludf.DUMMYFUNCTION("""COMPUTED_VALUE"""),"Top Case 1706")</f>
        <v>Top Case 1706</v>
      </c>
      <c r="C2121" s="75">
        <f ca="1">IFERROR(__xludf.DUMMYFUNCTION("""COMPUTED_VALUE"""),890)</f>
        <v>890</v>
      </c>
      <c r="D2121" s="75">
        <f ca="1">IFERROR(__xludf.DUMMYFUNCTION("""COMPUTED_VALUE"""),100)</f>
        <v>100</v>
      </c>
      <c r="E2121" s="76">
        <f ca="1">IFERROR(__xludf.DUMMYFUNCTION("""COMPUTED_VALUE"""),990)</f>
        <v>990</v>
      </c>
      <c r="F2121" s="77">
        <f ca="1">IFERROR(__xludf.DUMMYFUNCTION("""COMPUTED_VALUE"""),20140300)</f>
        <v>20140300</v>
      </c>
      <c r="G2121" s="77" t="str">
        <f t="shared" ca="1" si="8"/>
        <v>si</v>
      </c>
    </row>
    <row r="2122" spans="1:7" ht="12.75" x14ac:dyDescent="0.2">
      <c r="A2122" s="62">
        <f ca="1">IFERROR(__xludf.DUMMYFUNCTION("""COMPUTED_VALUE"""),20140305)</f>
        <v>20140305</v>
      </c>
      <c r="B2122" s="62" t="str">
        <f ca="1">IFERROR(__xludf.DUMMYFUNCTION("""COMPUTED_VALUE"""),"Flex de Pantalla (Conecta la pantalla a la placa) A1706 2016-2017")</f>
        <v>Flex de Pantalla (Conecta la pantalla a la placa) A1706 2016-2017</v>
      </c>
      <c r="C2122" s="75">
        <f ca="1">IFERROR(__xludf.DUMMYFUNCTION("""COMPUTED_VALUE"""),150)</f>
        <v>150</v>
      </c>
      <c r="D2122" s="75">
        <f ca="1">IFERROR(__xludf.DUMMYFUNCTION("""COMPUTED_VALUE"""),50)</f>
        <v>50</v>
      </c>
      <c r="E2122" s="76">
        <f ca="1">IFERROR(__xludf.DUMMYFUNCTION("""COMPUTED_VALUE"""),200)</f>
        <v>200</v>
      </c>
      <c r="F2122" s="77">
        <f ca="1">IFERROR(__xludf.DUMMYFUNCTION("""COMPUTED_VALUE"""),20140305)</f>
        <v>20140305</v>
      </c>
      <c r="G2122" s="77" t="str">
        <f t="shared" ca="1" si="8"/>
        <v>si</v>
      </c>
    </row>
    <row r="2123" spans="1:7" ht="12.75" x14ac:dyDescent="0.2">
      <c r="A2123" s="62">
        <f ca="1">IFERROR(__xludf.DUMMYFUNCTION("""COMPUTED_VALUE"""),20140306)</f>
        <v>20140306</v>
      </c>
      <c r="B2123" s="62" t="str">
        <f ca="1">IFERROR(__xludf.DUMMYFUNCTION("""COMPUTED_VALUE"""),"Flex de Pantalla (Conecta la pantalla a la placa) A1707")</f>
        <v>Flex de Pantalla (Conecta la pantalla a la placa) A1707</v>
      </c>
      <c r="C2123" s="75">
        <f ca="1">IFERROR(__xludf.DUMMYFUNCTION("""COMPUTED_VALUE"""),150)</f>
        <v>150</v>
      </c>
      <c r="D2123" s="75">
        <f ca="1">IFERROR(__xludf.DUMMYFUNCTION("""COMPUTED_VALUE"""),50)</f>
        <v>50</v>
      </c>
      <c r="E2123" s="76">
        <f ca="1">IFERROR(__xludf.DUMMYFUNCTION("""COMPUTED_VALUE"""),200)</f>
        <v>200</v>
      </c>
      <c r="F2123" s="77">
        <f ca="1">IFERROR(__xludf.DUMMYFUNCTION("""COMPUTED_VALUE"""),20140306)</f>
        <v>20140306</v>
      </c>
      <c r="G2123" s="77" t="str">
        <f t="shared" ca="1" si="8"/>
        <v>si</v>
      </c>
    </row>
    <row r="2124" spans="1:7" ht="12.75" x14ac:dyDescent="0.2">
      <c r="A2124" s="62">
        <f ca="1">IFERROR(__xludf.DUMMYFUNCTION("""COMPUTED_VALUE"""),20140307)</f>
        <v>20140307</v>
      </c>
      <c r="B2124" s="62" t="str">
        <f ca="1">IFERROR(__xludf.DUMMYFUNCTION("""COMPUTED_VALUE"""),"Flex de Pantalla (Conecta la pantalla a la placa) A1989 2018-2019")</f>
        <v>Flex de Pantalla (Conecta la pantalla a la placa) A1989 2018-2019</v>
      </c>
      <c r="C2124" s="75">
        <f ca="1">IFERROR(__xludf.DUMMYFUNCTION("""COMPUTED_VALUE"""),150)</f>
        <v>150</v>
      </c>
      <c r="D2124" s="75">
        <f ca="1">IFERROR(__xludf.DUMMYFUNCTION("""COMPUTED_VALUE"""),50)</f>
        <v>50</v>
      </c>
      <c r="E2124" s="76">
        <f ca="1">IFERROR(__xludf.DUMMYFUNCTION("""COMPUTED_VALUE"""),200)</f>
        <v>200</v>
      </c>
      <c r="F2124" s="77">
        <f ca="1">IFERROR(__xludf.DUMMYFUNCTION("""COMPUTED_VALUE"""),20140307)</f>
        <v>20140307</v>
      </c>
      <c r="G2124" s="77" t="str">
        <f t="shared" ca="1" si="8"/>
        <v>si</v>
      </c>
    </row>
    <row r="2125" spans="1:7" ht="12.75" x14ac:dyDescent="0.2">
      <c r="A2125" s="62">
        <f ca="1">IFERROR(__xludf.DUMMYFUNCTION("""COMPUTED_VALUE"""),20140308)</f>
        <v>20140308</v>
      </c>
      <c r="B2125" s="62" t="str">
        <f ca="1">IFERROR(__xludf.DUMMYFUNCTION("""COMPUTED_VALUE"""),"Flex de Pantalla (Conecta la pantalla a la placa) A1990")</f>
        <v>Flex de Pantalla (Conecta la pantalla a la placa) A1990</v>
      </c>
      <c r="C2125" s="75">
        <f ca="1">IFERROR(__xludf.DUMMYFUNCTION("""COMPUTED_VALUE"""),150)</f>
        <v>150</v>
      </c>
      <c r="D2125" s="75">
        <f ca="1">IFERROR(__xludf.DUMMYFUNCTION("""COMPUTED_VALUE"""),50)</f>
        <v>50</v>
      </c>
      <c r="E2125" s="76">
        <f ca="1">IFERROR(__xludf.DUMMYFUNCTION("""COMPUTED_VALUE"""),200)</f>
        <v>200</v>
      </c>
      <c r="F2125" s="77">
        <f ca="1">IFERROR(__xludf.DUMMYFUNCTION("""COMPUTED_VALUE"""),20140308)</f>
        <v>20140308</v>
      </c>
      <c r="G2125" s="77" t="str">
        <f t="shared" ca="1" si="8"/>
        <v>si</v>
      </c>
    </row>
    <row r="2126" spans="1:7" ht="12.75" x14ac:dyDescent="0.2">
      <c r="A2126" s="62">
        <f ca="1">IFERROR(__xludf.DUMMYFUNCTION("""COMPUTED_VALUE"""),20140309)</f>
        <v>20140309</v>
      </c>
      <c r="B2126" s="62" t="str">
        <f ca="1">IFERROR(__xludf.DUMMYFUNCTION("""COMPUTED_VALUE"""),"Flex de Pantalla (Conecta la pantalla a la placa) A1932")</f>
        <v>Flex de Pantalla (Conecta la pantalla a la placa) A1932</v>
      </c>
      <c r="C2126" s="75">
        <f ca="1">IFERROR(__xludf.DUMMYFUNCTION("""COMPUTED_VALUE"""),150)</f>
        <v>150</v>
      </c>
      <c r="D2126" s="75">
        <f ca="1">IFERROR(__xludf.DUMMYFUNCTION("""COMPUTED_VALUE"""),50)</f>
        <v>50</v>
      </c>
      <c r="E2126" s="76">
        <f ca="1">IFERROR(__xludf.DUMMYFUNCTION("""COMPUTED_VALUE"""),200)</f>
        <v>200</v>
      </c>
      <c r="F2126" s="77">
        <f ca="1">IFERROR(__xludf.DUMMYFUNCTION("""COMPUTED_VALUE"""),20140309)</f>
        <v>20140309</v>
      </c>
      <c r="G2126" s="77" t="str">
        <f t="shared" ca="1" si="8"/>
        <v>si</v>
      </c>
    </row>
    <row r="2127" spans="1:7" ht="12.75" x14ac:dyDescent="0.2">
      <c r="A2127" s="62">
        <f ca="1">IFERROR(__xludf.DUMMYFUNCTION("""COMPUTED_VALUE"""),20140310)</f>
        <v>20140310</v>
      </c>
      <c r="B2127" s="62" t="str">
        <f ca="1">IFERROR(__xludf.DUMMYFUNCTION("""COMPUTED_VALUE"""),"Flex de Pantalla (Conecta la pantalla a la placa) A2159   2019")</f>
        <v>Flex de Pantalla (Conecta la pantalla a la placa) A2159   2019</v>
      </c>
      <c r="C2127" s="75">
        <f ca="1">IFERROR(__xludf.DUMMYFUNCTION("""COMPUTED_VALUE"""),150)</f>
        <v>150</v>
      </c>
      <c r="D2127" s="75">
        <f ca="1">IFERROR(__xludf.DUMMYFUNCTION("""COMPUTED_VALUE"""),50)</f>
        <v>50</v>
      </c>
      <c r="E2127" s="76">
        <f ca="1">IFERROR(__xludf.DUMMYFUNCTION("""COMPUTED_VALUE"""),200)</f>
        <v>200</v>
      </c>
      <c r="F2127" s="77">
        <f ca="1">IFERROR(__xludf.DUMMYFUNCTION("""COMPUTED_VALUE"""),20140310)</f>
        <v>20140310</v>
      </c>
      <c r="G2127" s="77" t="str">
        <f t="shared" ca="1" si="8"/>
        <v>si</v>
      </c>
    </row>
    <row r="2128" spans="1:7" ht="12.75" x14ac:dyDescent="0.2">
      <c r="A2128" s="62">
        <f ca="1">IFERROR(__xludf.DUMMYFUNCTION("""COMPUTED_VALUE"""),20140311)</f>
        <v>20140311</v>
      </c>
      <c r="B2128" s="62" t="str">
        <f ca="1">IFERROR(__xludf.DUMMYFUNCTION("""COMPUTED_VALUE"""),"Flex de Pantalla (Conecta la pantalla a la placa) A2141")</f>
        <v>Flex de Pantalla (Conecta la pantalla a la placa) A2141</v>
      </c>
      <c r="C2128" s="75">
        <f ca="1">IFERROR(__xludf.DUMMYFUNCTION("""COMPUTED_VALUE"""),150)</f>
        <v>150</v>
      </c>
      <c r="D2128" s="75">
        <f ca="1">IFERROR(__xludf.DUMMYFUNCTION("""COMPUTED_VALUE"""),50)</f>
        <v>50</v>
      </c>
      <c r="E2128" s="76">
        <f ca="1">IFERROR(__xludf.DUMMYFUNCTION("""COMPUTED_VALUE"""),200)</f>
        <v>200</v>
      </c>
      <c r="F2128" s="77">
        <f ca="1">IFERROR(__xludf.DUMMYFUNCTION("""COMPUTED_VALUE"""),20140311)</f>
        <v>20140311</v>
      </c>
      <c r="G2128" s="77" t="str">
        <f t="shared" ca="1" si="8"/>
        <v>si</v>
      </c>
    </row>
    <row r="2129" spans="1:7" ht="12.75" x14ac:dyDescent="0.2">
      <c r="A2129" s="62">
        <f ca="1">IFERROR(__xludf.DUMMYFUNCTION("""COMPUTED_VALUE"""),20140312)</f>
        <v>20140312</v>
      </c>
      <c r="B2129" s="62" t="str">
        <f ca="1">IFERROR(__xludf.DUMMYFUNCTION("""COMPUTED_VALUE"""),"Flex de Pantalla (Conecta la pantalla a la placa) A2251   2020")</f>
        <v>Flex de Pantalla (Conecta la pantalla a la placa) A2251   2020</v>
      </c>
      <c r="C2129" s="75">
        <f ca="1">IFERROR(__xludf.DUMMYFUNCTION("""COMPUTED_VALUE"""),150)</f>
        <v>150</v>
      </c>
      <c r="D2129" s="75">
        <f ca="1">IFERROR(__xludf.DUMMYFUNCTION("""COMPUTED_VALUE"""),50)</f>
        <v>50</v>
      </c>
      <c r="E2129" s="76">
        <f ca="1">IFERROR(__xludf.DUMMYFUNCTION("""COMPUTED_VALUE"""),200)</f>
        <v>200</v>
      </c>
      <c r="F2129" s="77">
        <f ca="1">IFERROR(__xludf.DUMMYFUNCTION("""COMPUTED_VALUE"""),20140312)</f>
        <v>20140312</v>
      </c>
      <c r="G2129" s="77" t="str">
        <f t="shared" ca="1" si="8"/>
        <v>si</v>
      </c>
    </row>
    <row r="2130" spans="1:7" ht="12.75" x14ac:dyDescent="0.2">
      <c r="A2130" s="62">
        <f ca="1">IFERROR(__xludf.DUMMYFUNCTION("""COMPUTED_VALUE"""),20140313)</f>
        <v>20140313</v>
      </c>
      <c r="B2130" s="62" t="str">
        <f ca="1">IFERROR(__xludf.DUMMYFUNCTION("""COMPUTED_VALUE"""),"Flex de Pantalla (Conecta la pantalla a la placa)A2289")</f>
        <v>Flex de Pantalla (Conecta la pantalla a la placa)A2289</v>
      </c>
      <c r="C2130" s="75">
        <f ca="1">IFERROR(__xludf.DUMMYFUNCTION("""COMPUTED_VALUE"""),150)</f>
        <v>150</v>
      </c>
      <c r="D2130" s="75">
        <f ca="1">IFERROR(__xludf.DUMMYFUNCTION("""COMPUTED_VALUE"""),50)</f>
        <v>50</v>
      </c>
      <c r="E2130" s="76">
        <f ca="1">IFERROR(__xludf.DUMMYFUNCTION("""COMPUTED_VALUE"""),200)</f>
        <v>200</v>
      </c>
      <c r="F2130" s="77">
        <f ca="1">IFERROR(__xludf.DUMMYFUNCTION("""COMPUTED_VALUE"""),20140313)</f>
        <v>20140313</v>
      </c>
      <c r="G2130" s="77" t="str">
        <f t="shared" ca="1" si="8"/>
        <v>si</v>
      </c>
    </row>
    <row r="2131" spans="1:7" ht="12.75" x14ac:dyDescent="0.2">
      <c r="A2131" s="62">
        <f ca="1">IFERROR(__xludf.DUMMYFUNCTION("""COMPUTED_VALUE"""),20140314)</f>
        <v>20140314</v>
      </c>
      <c r="B2131" s="62" t="str">
        <f ca="1">IFERROR(__xludf.DUMMYFUNCTION("""COMPUTED_VALUE"""),"Flex de Pantalla (Conecta la pantalla a la placa)A2179")</f>
        <v>Flex de Pantalla (Conecta la pantalla a la placa)A2179</v>
      </c>
      <c r="C2131" s="75">
        <f ca="1">IFERROR(__xludf.DUMMYFUNCTION("""COMPUTED_VALUE"""),150)</f>
        <v>150</v>
      </c>
      <c r="D2131" s="75">
        <f ca="1">IFERROR(__xludf.DUMMYFUNCTION("""COMPUTED_VALUE"""),50)</f>
        <v>50</v>
      </c>
      <c r="E2131" s="76">
        <f ca="1">IFERROR(__xludf.DUMMYFUNCTION("""COMPUTED_VALUE"""),200)</f>
        <v>200</v>
      </c>
      <c r="F2131" s="77">
        <f ca="1">IFERROR(__xludf.DUMMYFUNCTION("""COMPUTED_VALUE"""),20140314)</f>
        <v>20140314</v>
      </c>
      <c r="G2131" s="77" t="str">
        <f t="shared" ca="1" si="8"/>
        <v>si</v>
      </c>
    </row>
    <row r="2132" spans="1:7" ht="12.75" x14ac:dyDescent="0.2">
      <c r="A2132" s="62">
        <f ca="1">IFERROR(__xludf.DUMMYFUNCTION("""COMPUTED_VALUE"""),20140315)</f>
        <v>20140315</v>
      </c>
      <c r="B2132" s="62" t="str">
        <f ca="1">IFERROR(__xludf.DUMMYFUNCTION("""COMPUTED_VALUE"""),"Flex de Pantalla (Conecta la pantalla a la placa)A2337")</f>
        <v>Flex de Pantalla (Conecta la pantalla a la placa)A2337</v>
      </c>
      <c r="C2132" s="75">
        <f ca="1">IFERROR(__xludf.DUMMYFUNCTION("""COMPUTED_VALUE"""),150)</f>
        <v>150</v>
      </c>
      <c r="D2132" s="75">
        <f ca="1">IFERROR(__xludf.DUMMYFUNCTION("""COMPUTED_VALUE"""),50)</f>
        <v>50</v>
      </c>
      <c r="E2132" s="76">
        <f ca="1">IFERROR(__xludf.DUMMYFUNCTION("""COMPUTED_VALUE"""),200)</f>
        <v>200</v>
      </c>
      <c r="F2132" s="77">
        <f ca="1">IFERROR(__xludf.DUMMYFUNCTION("""COMPUTED_VALUE"""),20140315)</f>
        <v>20140315</v>
      </c>
      <c r="G2132" s="77" t="str">
        <f t="shared" ca="1" si="8"/>
        <v>si</v>
      </c>
    </row>
    <row r="2133" spans="1:7" ht="12.75" x14ac:dyDescent="0.2">
      <c r="A2133" s="62">
        <f ca="1">IFERROR(__xludf.DUMMYFUNCTION("""COMPUTED_VALUE"""),20140316)</f>
        <v>20140316</v>
      </c>
      <c r="B2133" s="62" t="str">
        <f ca="1">IFERROR(__xludf.DUMMYFUNCTION("""COMPUTED_VALUE"""),"Flex de Pantalla (Conecta la pantalla a la placa)A2338")</f>
        <v>Flex de Pantalla (Conecta la pantalla a la placa)A2338</v>
      </c>
      <c r="C2133" s="75">
        <f ca="1">IFERROR(__xludf.DUMMYFUNCTION("""COMPUTED_VALUE"""),150)</f>
        <v>150</v>
      </c>
      <c r="D2133" s="75">
        <f ca="1">IFERROR(__xludf.DUMMYFUNCTION("""COMPUTED_VALUE"""),50)</f>
        <v>50</v>
      </c>
      <c r="E2133" s="76">
        <f ca="1">IFERROR(__xludf.DUMMYFUNCTION("""COMPUTED_VALUE"""),200)</f>
        <v>200</v>
      </c>
      <c r="F2133" s="77">
        <f ca="1">IFERROR(__xludf.DUMMYFUNCTION("""COMPUTED_VALUE"""),20140316)</f>
        <v>20140316</v>
      </c>
      <c r="G2133" s="77" t="str">
        <f t="shared" ca="1" si="8"/>
        <v>si</v>
      </c>
    </row>
    <row r="2134" spans="1:7" ht="12.75" x14ac:dyDescent="0.2">
      <c r="A2134" s="62">
        <f ca="1">IFERROR(__xludf.DUMMYFUNCTION("""COMPUTED_VALUE"""),20140317)</f>
        <v>20140317</v>
      </c>
      <c r="B2134" s="62" t="str">
        <f ca="1">IFERROR(__xludf.DUMMYFUNCTION("""COMPUTED_VALUE"""),"Flex de bateria  A1708 2016-2017 / A2159 2019 / A2289 2020 / 2338 2020")</f>
        <v>Flex de bateria  A1708 2016-2017 / A2159 2019 / A2289 2020 / 2338 2020</v>
      </c>
      <c r="C2134" s="75">
        <f ca="1">IFERROR(__xludf.DUMMYFUNCTION("""COMPUTED_VALUE"""),150)</f>
        <v>150</v>
      </c>
      <c r="D2134" s="75">
        <f ca="1">IFERROR(__xludf.DUMMYFUNCTION("""COMPUTED_VALUE"""),50)</f>
        <v>50</v>
      </c>
      <c r="E2134" s="76">
        <f ca="1">IFERROR(__xludf.DUMMYFUNCTION("""COMPUTED_VALUE"""),200)</f>
        <v>200</v>
      </c>
      <c r="F2134" s="77">
        <f ca="1">IFERROR(__xludf.DUMMYFUNCTION("""COMPUTED_VALUE"""),20140317)</f>
        <v>20140317</v>
      </c>
      <c r="G2134" s="77" t="str">
        <f t="shared" ca="1" si="8"/>
        <v>si</v>
      </c>
    </row>
    <row r="2135" spans="1:7" ht="12.75" x14ac:dyDescent="0.2">
      <c r="A2135" s="62">
        <f ca="1">IFERROR(__xludf.DUMMYFUNCTION("""COMPUTED_VALUE"""),20140318)</f>
        <v>20140318</v>
      </c>
      <c r="B2135" s="62" t="str">
        <f ca="1">IFERROR(__xludf.DUMMYFUNCTION("""COMPUTED_VALUE"""),"Flex de bateria A1990  2018-2019 / A2141 2019")</f>
        <v>Flex de bateria A1990  2018-2019 / A2141 2019</v>
      </c>
      <c r="C2135" s="75">
        <f ca="1">IFERROR(__xludf.DUMMYFUNCTION("""COMPUTED_VALUE"""),150)</f>
        <v>150</v>
      </c>
      <c r="D2135" s="75">
        <f ca="1">IFERROR(__xludf.DUMMYFUNCTION("""COMPUTED_VALUE"""),50)</f>
        <v>50</v>
      </c>
      <c r="E2135" s="76">
        <f ca="1">IFERROR(__xludf.DUMMYFUNCTION("""COMPUTED_VALUE"""),200)</f>
        <v>200</v>
      </c>
      <c r="F2135" s="77">
        <f ca="1">IFERROR(__xludf.DUMMYFUNCTION("""COMPUTED_VALUE"""),20140318)</f>
        <v>20140318</v>
      </c>
      <c r="G2135" s="77" t="str">
        <f t="shared" ca="1" si="8"/>
        <v>si</v>
      </c>
    </row>
    <row r="2136" spans="1:7" ht="12.75" x14ac:dyDescent="0.2">
      <c r="A2136" s="62">
        <f ca="1">IFERROR(__xludf.DUMMYFUNCTION("""COMPUTED_VALUE"""),20140319)</f>
        <v>20140319</v>
      </c>
      <c r="B2136" s="62" t="str">
        <f ca="1">IFERROR(__xludf.DUMMYFUNCTION("""COMPUTED_VALUE"""),"Flex de bateria A1989  2018-2019 / A2251 2020")</f>
        <v>Flex de bateria A1989  2018-2019 / A2251 2020</v>
      </c>
      <c r="C2136" s="75">
        <f ca="1">IFERROR(__xludf.DUMMYFUNCTION("""COMPUTED_VALUE"""),150)</f>
        <v>150</v>
      </c>
      <c r="D2136" s="75">
        <f ca="1">IFERROR(__xludf.DUMMYFUNCTION("""COMPUTED_VALUE"""),50)</f>
        <v>50</v>
      </c>
      <c r="E2136" s="76">
        <f ca="1">IFERROR(__xludf.DUMMYFUNCTION("""COMPUTED_VALUE"""),200)</f>
        <v>200</v>
      </c>
      <c r="F2136" s="77">
        <f ca="1">IFERROR(__xludf.DUMMYFUNCTION("""COMPUTED_VALUE"""),20140319)</f>
        <v>20140319</v>
      </c>
      <c r="G2136" s="77" t="str">
        <f t="shared" ca="1" si="8"/>
        <v>si</v>
      </c>
    </row>
    <row r="2137" spans="1:7" ht="12.75" x14ac:dyDescent="0.2">
      <c r="A2137" s="62">
        <f ca="1">IFERROR(__xludf.DUMMYFUNCTION("""COMPUTED_VALUE"""),20140320)</f>
        <v>20140320</v>
      </c>
      <c r="B2137" s="62" t="str">
        <f ca="1">IFERROR(__xludf.DUMMYFUNCTION("""COMPUTED_VALUE"""),"Flash Iphone 12")</f>
        <v>Flash Iphone 12</v>
      </c>
      <c r="C2137" s="75">
        <f ca="1">IFERROR(__xludf.DUMMYFUNCTION("""COMPUTED_VALUE"""),150)</f>
        <v>150</v>
      </c>
      <c r="D2137" s="75">
        <f ca="1">IFERROR(__xludf.DUMMYFUNCTION("""COMPUTED_VALUE"""),50)</f>
        <v>50</v>
      </c>
      <c r="E2137" s="76">
        <f ca="1">IFERROR(__xludf.DUMMYFUNCTION("""COMPUTED_VALUE"""),200)</f>
        <v>200</v>
      </c>
      <c r="F2137" s="77">
        <f ca="1">IFERROR(__xludf.DUMMYFUNCTION("""COMPUTED_VALUE"""),20140320)</f>
        <v>20140320</v>
      </c>
      <c r="G2137" s="77" t="str">
        <f t="shared" ca="1" si="8"/>
        <v>si</v>
      </c>
    </row>
    <row r="2138" spans="1:7" ht="12.75" x14ac:dyDescent="0.2">
      <c r="A2138" s="62">
        <f ca="1">IFERROR(__xludf.DUMMYFUNCTION("""COMPUTED_VALUE"""),20140321)</f>
        <v>20140321</v>
      </c>
      <c r="B2138" s="62" t="str">
        <f ca="1">IFERROR(__xludf.DUMMYFUNCTION("""COMPUTED_VALUE"""),"Flash Iphone 12P")</f>
        <v>Flash Iphone 12P</v>
      </c>
      <c r="C2138" s="75">
        <f ca="1">IFERROR(__xludf.DUMMYFUNCTION("""COMPUTED_VALUE"""),150)</f>
        <v>150</v>
      </c>
      <c r="D2138" s="75">
        <f ca="1">IFERROR(__xludf.DUMMYFUNCTION("""COMPUTED_VALUE"""),50)</f>
        <v>50</v>
      </c>
      <c r="E2138" s="76">
        <f ca="1">IFERROR(__xludf.DUMMYFUNCTION("""COMPUTED_VALUE"""),200)</f>
        <v>200</v>
      </c>
      <c r="F2138" s="77">
        <f ca="1">IFERROR(__xludf.DUMMYFUNCTION("""COMPUTED_VALUE"""),20140321)</f>
        <v>20140321</v>
      </c>
      <c r="G2138" s="77" t="str">
        <f t="shared" ca="1" si="8"/>
        <v>si</v>
      </c>
    </row>
    <row r="2139" spans="1:7" ht="12.75" x14ac:dyDescent="0.2">
      <c r="A2139" s="62">
        <f ca="1">IFERROR(__xludf.DUMMYFUNCTION("""COMPUTED_VALUE"""),20140322)</f>
        <v>20140322</v>
      </c>
      <c r="B2139" s="62" t="str">
        <f ca="1">IFERROR(__xludf.DUMMYFUNCTION("""COMPUTED_VALUE"""),"Flash IPhone 12PM")</f>
        <v>Flash IPhone 12PM</v>
      </c>
      <c r="C2139" s="75">
        <f ca="1">IFERROR(__xludf.DUMMYFUNCTION("""COMPUTED_VALUE"""),150)</f>
        <v>150</v>
      </c>
      <c r="D2139" s="75">
        <f ca="1">IFERROR(__xludf.DUMMYFUNCTION("""COMPUTED_VALUE"""),50)</f>
        <v>50</v>
      </c>
      <c r="E2139" s="76">
        <f ca="1">IFERROR(__xludf.DUMMYFUNCTION("""COMPUTED_VALUE"""),200)</f>
        <v>200</v>
      </c>
      <c r="F2139" s="77">
        <f ca="1">IFERROR(__xludf.DUMMYFUNCTION("""COMPUTED_VALUE"""),20140322)</f>
        <v>20140322</v>
      </c>
      <c r="G2139" s="77" t="str">
        <f t="shared" ca="1" si="8"/>
        <v>si</v>
      </c>
    </row>
    <row r="2140" spans="1:7" ht="12.75" x14ac:dyDescent="0.2">
      <c r="A2140" s="62">
        <f ca="1">IFERROR(__xludf.DUMMYFUNCTION("""COMPUTED_VALUE"""),20140323)</f>
        <v>20140323</v>
      </c>
      <c r="B2140" s="62"/>
      <c r="C2140" s="75">
        <f ca="1">IFERROR(__xludf.DUMMYFUNCTION("""COMPUTED_VALUE"""),150)</f>
        <v>150</v>
      </c>
      <c r="D2140" s="75">
        <f ca="1">IFERROR(__xludf.DUMMYFUNCTION("""COMPUTED_VALUE"""),100)</f>
        <v>100</v>
      </c>
      <c r="E2140" s="76">
        <f ca="1">IFERROR(__xludf.DUMMYFUNCTION("""COMPUTED_VALUE"""),250)</f>
        <v>250</v>
      </c>
      <c r="F2140" s="77">
        <f ca="1">IFERROR(__xludf.DUMMYFUNCTION("""COMPUTED_VALUE"""),20140323)</f>
        <v>20140323</v>
      </c>
      <c r="G2140" s="77" t="str">
        <f t="shared" ca="1" si="8"/>
        <v>si</v>
      </c>
    </row>
    <row r="2141" spans="1:7" ht="12.75" x14ac:dyDescent="0.2">
      <c r="A2141" s="62">
        <f ca="1">IFERROR(__xludf.DUMMYFUNCTION("""COMPUTED_VALUE"""),20140324)</f>
        <v>20140324</v>
      </c>
      <c r="B2141" s="62"/>
      <c r="C2141" s="75">
        <f ca="1">IFERROR(__xludf.DUMMYFUNCTION("""COMPUTED_VALUE"""),150)</f>
        <v>150</v>
      </c>
      <c r="D2141" s="75">
        <f ca="1">IFERROR(__xludf.DUMMYFUNCTION("""COMPUTED_VALUE"""),100)</f>
        <v>100</v>
      </c>
      <c r="E2141" s="76">
        <f ca="1">IFERROR(__xludf.DUMMYFUNCTION("""COMPUTED_VALUE"""),250)</f>
        <v>250</v>
      </c>
      <c r="F2141" s="77">
        <f ca="1">IFERROR(__xludf.DUMMYFUNCTION("""COMPUTED_VALUE"""),20140324)</f>
        <v>20140324</v>
      </c>
      <c r="G2141" s="77" t="str">
        <f t="shared" ca="1" si="8"/>
        <v>si</v>
      </c>
    </row>
    <row r="2142" spans="1:7" ht="12.75" x14ac:dyDescent="0.2">
      <c r="A2142" s="62">
        <f ca="1">IFERROR(__xludf.DUMMYFUNCTION("""COMPUTED_VALUE"""),20140325)</f>
        <v>20140325</v>
      </c>
      <c r="B2142" s="62" t="str">
        <f ca="1">IFERROR(__xludf.DUMMYFUNCTION("""COMPUTED_VALUE"""),"Flex de teclado a1534  2015")</f>
        <v>Flex de teclado a1534  2015</v>
      </c>
      <c r="C2142" s="75">
        <f ca="1">IFERROR(__xludf.DUMMYFUNCTION("""COMPUTED_VALUE"""),150)</f>
        <v>150</v>
      </c>
      <c r="D2142" s="75">
        <f ca="1">IFERROR(__xludf.DUMMYFUNCTION("""COMPUTED_VALUE"""),50)</f>
        <v>50</v>
      </c>
      <c r="E2142" s="76">
        <f ca="1">IFERROR(__xludf.DUMMYFUNCTION("""COMPUTED_VALUE"""),200)</f>
        <v>200</v>
      </c>
      <c r="F2142" s="77">
        <f ca="1">IFERROR(__xludf.DUMMYFUNCTION("""COMPUTED_VALUE"""),20140325)</f>
        <v>20140325</v>
      </c>
      <c r="G2142" s="77" t="str">
        <f t="shared" ca="1" si="8"/>
        <v>si</v>
      </c>
    </row>
    <row r="2143" spans="1:7" ht="12.75" x14ac:dyDescent="0.2">
      <c r="A2143" s="62">
        <f ca="1">IFERROR(__xludf.DUMMYFUNCTION("""COMPUTED_VALUE"""),20140326)</f>
        <v>20140326</v>
      </c>
      <c r="B2143" s="62" t="str">
        <f ca="1">IFERROR(__xludf.DUMMYFUNCTION("""COMPUTED_VALUE"""),"Flex de teclado a1534   2016-2017")</f>
        <v>Flex de teclado a1534   2016-2017</v>
      </c>
      <c r="C2143" s="75">
        <f ca="1">IFERROR(__xludf.DUMMYFUNCTION("""COMPUTED_VALUE"""),150)</f>
        <v>150</v>
      </c>
      <c r="D2143" s="75">
        <f ca="1">IFERROR(__xludf.DUMMYFUNCTION("""COMPUTED_VALUE"""),50)</f>
        <v>50</v>
      </c>
      <c r="E2143" s="76">
        <f ca="1">IFERROR(__xludf.DUMMYFUNCTION("""COMPUTED_VALUE"""),200)</f>
        <v>200</v>
      </c>
      <c r="F2143" s="77">
        <f ca="1">IFERROR(__xludf.DUMMYFUNCTION("""COMPUTED_VALUE"""),20140326)</f>
        <v>20140326</v>
      </c>
      <c r="G2143" s="77" t="str">
        <f t="shared" ca="1" si="8"/>
        <v>si</v>
      </c>
    </row>
    <row r="2144" spans="1:7" ht="12.75" x14ac:dyDescent="0.2">
      <c r="A2144" s="62">
        <f ca="1">IFERROR(__xludf.DUMMYFUNCTION("""COMPUTED_VALUE"""),20140327)</f>
        <v>20140327</v>
      </c>
      <c r="B2144" s="62" t="str">
        <f ca="1">IFERROR(__xludf.DUMMYFUNCTION("""COMPUTED_VALUE"""),"Flex de teclado a1706 2016-2017")</f>
        <v>Flex de teclado a1706 2016-2017</v>
      </c>
      <c r="C2144" s="75">
        <f ca="1">IFERROR(__xludf.DUMMYFUNCTION("""COMPUTED_VALUE"""),150)</f>
        <v>150</v>
      </c>
      <c r="D2144" s="75">
        <f ca="1">IFERROR(__xludf.DUMMYFUNCTION("""COMPUTED_VALUE"""),50)</f>
        <v>50</v>
      </c>
      <c r="E2144" s="76">
        <f ca="1">IFERROR(__xludf.DUMMYFUNCTION("""COMPUTED_VALUE"""),200)</f>
        <v>200</v>
      </c>
      <c r="F2144" s="77">
        <f ca="1">IFERROR(__xludf.DUMMYFUNCTION("""COMPUTED_VALUE"""),20140327)</f>
        <v>20140327</v>
      </c>
      <c r="G2144" s="77" t="str">
        <f t="shared" ca="1" si="8"/>
        <v>si</v>
      </c>
    </row>
    <row r="2145" spans="1:7" ht="12.75" x14ac:dyDescent="0.2">
      <c r="A2145" s="62">
        <f ca="1">IFERROR(__xludf.DUMMYFUNCTION("""COMPUTED_VALUE"""),20140328)</f>
        <v>20140328</v>
      </c>
      <c r="B2145" s="62" t="str">
        <f ca="1">IFERROR(__xludf.DUMMYFUNCTION("""COMPUTED_VALUE"""),"Flex de teclado a1707 2016-2017")</f>
        <v>Flex de teclado a1707 2016-2017</v>
      </c>
      <c r="C2145" s="75">
        <f ca="1">IFERROR(__xludf.DUMMYFUNCTION("""COMPUTED_VALUE"""),150)</f>
        <v>150</v>
      </c>
      <c r="D2145" s="75">
        <f ca="1">IFERROR(__xludf.DUMMYFUNCTION("""COMPUTED_VALUE"""),50)</f>
        <v>50</v>
      </c>
      <c r="E2145" s="76">
        <f ca="1">IFERROR(__xludf.DUMMYFUNCTION("""COMPUTED_VALUE"""),200)</f>
        <v>200</v>
      </c>
      <c r="F2145" s="77">
        <f ca="1">IFERROR(__xludf.DUMMYFUNCTION("""COMPUTED_VALUE"""),20140328)</f>
        <v>20140328</v>
      </c>
      <c r="G2145" s="77" t="str">
        <f t="shared" ca="1" si="8"/>
        <v>si</v>
      </c>
    </row>
    <row r="2146" spans="1:7" ht="12.75" x14ac:dyDescent="0.2">
      <c r="A2146" s="62">
        <f ca="1">IFERROR(__xludf.DUMMYFUNCTION("""COMPUTED_VALUE"""),20140329)</f>
        <v>20140329</v>
      </c>
      <c r="B2146" s="62" t="str">
        <f ca="1">IFERROR(__xludf.DUMMYFUNCTION("""COMPUTED_VALUE"""),"Flex de teclado a1708 2016-2017")</f>
        <v>Flex de teclado a1708 2016-2017</v>
      </c>
      <c r="C2146" s="75">
        <f ca="1">IFERROR(__xludf.DUMMYFUNCTION("""COMPUTED_VALUE"""),150)</f>
        <v>150</v>
      </c>
      <c r="D2146" s="75">
        <f ca="1">IFERROR(__xludf.DUMMYFUNCTION("""COMPUTED_VALUE"""),50)</f>
        <v>50</v>
      </c>
      <c r="E2146" s="76">
        <f ca="1">IFERROR(__xludf.DUMMYFUNCTION("""COMPUTED_VALUE"""),200)</f>
        <v>200</v>
      </c>
      <c r="F2146" s="77">
        <f ca="1">IFERROR(__xludf.DUMMYFUNCTION("""COMPUTED_VALUE"""),20140329)</f>
        <v>20140329</v>
      </c>
      <c r="G2146" s="77" t="str">
        <f t="shared" ca="1" si="8"/>
        <v>si</v>
      </c>
    </row>
    <row r="2147" spans="1:7" ht="12.75" x14ac:dyDescent="0.2">
      <c r="A2147" s="62">
        <f ca="1">IFERROR(__xludf.DUMMYFUNCTION("""COMPUTED_VALUE"""),20140330)</f>
        <v>20140330</v>
      </c>
      <c r="B2147" s="62" t="str">
        <f ca="1">IFERROR(__xludf.DUMMYFUNCTION("""COMPUTED_VALUE"""),"Flex de teclado a1932 2018-2019")</f>
        <v>Flex de teclado a1932 2018-2019</v>
      </c>
      <c r="C2147" s="75">
        <f ca="1">IFERROR(__xludf.DUMMYFUNCTION("""COMPUTED_VALUE"""),150)</f>
        <v>150</v>
      </c>
      <c r="D2147" s="75">
        <f ca="1">IFERROR(__xludf.DUMMYFUNCTION("""COMPUTED_VALUE"""),50)</f>
        <v>50</v>
      </c>
      <c r="E2147" s="76">
        <f ca="1">IFERROR(__xludf.DUMMYFUNCTION("""COMPUTED_VALUE"""),200)</f>
        <v>200</v>
      </c>
      <c r="F2147" s="77">
        <f ca="1">IFERROR(__xludf.DUMMYFUNCTION("""COMPUTED_VALUE"""),20140330)</f>
        <v>20140330</v>
      </c>
      <c r="G2147" s="77" t="str">
        <f t="shared" ca="1" si="8"/>
        <v>si</v>
      </c>
    </row>
    <row r="2148" spans="1:7" ht="12.75" x14ac:dyDescent="0.2">
      <c r="A2148" s="62">
        <f ca="1">IFERROR(__xludf.DUMMYFUNCTION("""COMPUTED_VALUE"""),20140331)</f>
        <v>20140331</v>
      </c>
      <c r="B2148" s="62" t="str">
        <f ca="1">IFERROR(__xludf.DUMMYFUNCTION("""COMPUTED_VALUE"""),"Flex de teclado a1990 2018-2019")</f>
        <v>Flex de teclado a1990 2018-2019</v>
      </c>
      <c r="C2148" s="75">
        <f ca="1">IFERROR(__xludf.DUMMYFUNCTION("""COMPUTED_VALUE"""),150)</f>
        <v>150</v>
      </c>
      <c r="D2148" s="75">
        <f ca="1">IFERROR(__xludf.DUMMYFUNCTION("""COMPUTED_VALUE"""),50)</f>
        <v>50</v>
      </c>
      <c r="E2148" s="76">
        <f ca="1">IFERROR(__xludf.DUMMYFUNCTION("""COMPUTED_VALUE"""),200)</f>
        <v>200</v>
      </c>
      <c r="F2148" s="77">
        <f ca="1">IFERROR(__xludf.DUMMYFUNCTION("""COMPUTED_VALUE"""),20140331)</f>
        <v>20140331</v>
      </c>
      <c r="G2148" s="77" t="str">
        <f t="shared" ca="1" si="8"/>
        <v>si</v>
      </c>
    </row>
    <row r="2149" spans="1:7" ht="12.75" x14ac:dyDescent="0.2">
      <c r="A2149" s="62">
        <f ca="1">IFERROR(__xludf.DUMMYFUNCTION("""COMPUTED_VALUE"""),20140332)</f>
        <v>20140332</v>
      </c>
      <c r="B2149" s="62" t="str">
        <f ca="1">IFERROR(__xludf.DUMMYFUNCTION("""COMPUTED_VALUE"""),"Flex de tecladoa1989 2018-2019")</f>
        <v>Flex de tecladoa1989 2018-2019</v>
      </c>
      <c r="C2149" s="75">
        <f ca="1">IFERROR(__xludf.DUMMYFUNCTION("""COMPUTED_VALUE"""),150)</f>
        <v>150</v>
      </c>
      <c r="D2149" s="75">
        <f ca="1">IFERROR(__xludf.DUMMYFUNCTION("""COMPUTED_VALUE"""),50)</f>
        <v>50</v>
      </c>
      <c r="E2149" s="76">
        <f ca="1">IFERROR(__xludf.DUMMYFUNCTION("""COMPUTED_VALUE"""),200)</f>
        <v>200</v>
      </c>
      <c r="F2149" s="77">
        <f ca="1">IFERROR(__xludf.DUMMYFUNCTION("""COMPUTED_VALUE"""),20140332)</f>
        <v>20140332</v>
      </c>
      <c r="G2149" s="77" t="str">
        <f t="shared" ca="1" si="8"/>
        <v>si</v>
      </c>
    </row>
    <row r="2150" spans="1:7" ht="12.75" x14ac:dyDescent="0.2">
      <c r="A2150" s="62">
        <f ca="1">IFERROR(__xludf.DUMMYFUNCTION("""COMPUTED_VALUE"""),20140333)</f>
        <v>20140333</v>
      </c>
      <c r="B2150" s="62" t="str">
        <f ca="1">IFERROR(__xludf.DUMMYFUNCTION("""COMPUTED_VALUE"""),"Flex de teclado a2159 2019")</f>
        <v>Flex de teclado a2159 2019</v>
      </c>
      <c r="C2150" s="75">
        <f ca="1">IFERROR(__xludf.DUMMYFUNCTION("""COMPUTED_VALUE"""),150)</f>
        <v>150</v>
      </c>
      <c r="D2150" s="75">
        <f ca="1">IFERROR(__xludf.DUMMYFUNCTION("""COMPUTED_VALUE"""),50)</f>
        <v>50</v>
      </c>
      <c r="E2150" s="76">
        <f ca="1">IFERROR(__xludf.DUMMYFUNCTION("""COMPUTED_VALUE"""),200)</f>
        <v>200</v>
      </c>
      <c r="F2150" s="77">
        <f ca="1">IFERROR(__xludf.DUMMYFUNCTION("""COMPUTED_VALUE"""),20140333)</f>
        <v>20140333</v>
      </c>
      <c r="G2150" s="77" t="str">
        <f t="shared" ca="1" si="8"/>
        <v>si</v>
      </c>
    </row>
    <row r="2151" spans="1:7" ht="12.75" x14ac:dyDescent="0.2">
      <c r="A2151" s="62">
        <f ca="1">IFERROR(__xludf.DUMMYFUNCTION("""COMPUTED_VALUE"""),10160285)</f>
        <v>10160285</v>
      </c>
      <c r="B2151" s="62" t="str">
        <f ca="1">IFERROR(__xludf.DUMMYFUNCTION("""COMPUTED_VALUE"""),"Sensor Proximidad Huawei P30 Pro")</f>
        <v>Sensor Proximidad Huawei P30 Pro</v>
      </c>
      <c r="C2151" s="75">
        <f ca="1">IFERROR(__xludf.DUMMYFUNCTION("""COMPUTED_VALUE"""),120)</f>
        <v>120</v>
      </c>
      <c r="D2151" s="75">
        <f ca="1">IFERROR(__xludf.DUMMYFUNCTION("""COMPUTED_VALUE"""),50)</f>
        <v>50</v>
      </c>
      <c r="E2151" s="76">
        <f ca="1">IFERROR(__xludf.DUMMYFUNCTION("""COMPUTED_VALUE"""),170)</f>
        <v>170</v>
      </c>
      <c r="F2151" s="77">
        <f ca="1">IFERROR(__xludf.DUMMYFUNCTION("""COMPUTED_VALUE"""),10160285)</f>
        <v>10160285</v>
      </c>
      <c r="G2151" s="77" t="str">
        <f t="shared" ca="1" si="8"/>
        <v>si</v>
      </c>
    </row>
    <row r="2152" spans="1:7" ht="12.75" x14ac:dyDescent="0.2">
      <c r="A2152" s="62">
        <f ca="1">IFERROR(__xludf.DUMMYFUNCTION("""COMPUTED_VALUE"""),10100002)</f>
        <v>10100002</v>
      </c>
      <c r="B2152" s="62" t="str">
        <f ca="1">IFERROR(__xludf.DUMMYFUNCTION("""COMPUTED_VALUE"""),"Placa Samsung S8 - G950U-US-64gb-4GB-MSM8998")</f>
        <v>Placa Samsung S8 - G950U-US-64gb-4GB-MSM8998</v>
      </c>
      <c r="C2152" s="75">
        <f ca="1">IFERROR(__xludf.DUMMYFUNCTION("""COMPUTED_VALUE"""),440)</f>
        <v>440</v>
      </c>
      <c r="D2152" s="75">
        <f ca="1">IFERROR(__xludf.DUMMYFUNCTION("""COMPUTED_VALUE"""),50)</f>
        <v>50</v>
      </c>
      <c r="E2152" s="76">
        <f ca="1">IFERROR(__xludf.DUMMYFUNCTION("""COMPUTED_VALUE"""),490)</f>
        <v>490</v>
      </c>
      <c r="F2152" s="77">
        <f ca="1">IFERROR(__xludf.DUMMYFUNCTION("""COMPUTED_VALUE"""),10100002)</f>
        <v>10100002</v>
      </c>
      <c r="G2152" s="77" t="str">
        <f t="shared" ca="1" si="8"/>
        <v>si</v>
      </c>
    </row>
    <row r="2153" spans="1:7" ht="12.75" x14ac:dyDescent="0.2">
      <c r="A2153" s="62">
        <f ca="1">IFERROR(__xludf.DUMMYFUNCTION("""COMPUTED_VALUE"""),10100003)</f>
        <v>10100003</v>
      </c>
      <c r="B2153" s="62" t="str">
        <f ca="1">IFERROR(__xludf.DUMMYFUNCTION("""COMPUTED_VALUE"""),"Placa Samsung S8 plus G955U-US-64gb-4GB-MSM8998")</f>
        <v>Placa Samsung S8 plus G955U-US-64gb-4GB-MSM8998</v>
      </c>
      <c r="C2153" s="75">
        <f ca="1">IFERROR(__xludf.DUMMYFUNCTION("""COMPUTED_VALUE"""),440)</f>
        <v>440</v>
      </c>
      <c r="D2153" s="75">
        <f ca="1">IFERROR(__xludf.DUMMYFUNCTION("""COMPUTED_VALUE"""),50)</f>
        <v>50</v>
      </c>
      <c r="E2153" s="76">
        <f ca="1">IFERROR(__xludf.DUMMYFUNCTION("""COMPUTED_VALUE"""),490)</f>
        <v>490</v>
      </c>
      <c r="F2153" s="77">
        <f ca="1">IFERROR(__xludf.DUMMYFUNCTION("""COMPUTED_VALUE"""),10100003)</f>
        <v>10100003</v>
      </c>
      <c r="G2153" s="77" t="str">
        <f t="shared" ca="1" si="8"/>
        <v>si</v>
      </c>
    </row>
    <row r="2154" spans="1:7" ht="12.75" x14ac:dyDescent="0.2">
      <c r="A2154" s="62">
        <f ca="1">IFERROR(__xludf.DUMMYFUNCTION("""COMPUTED_VALUE"""),10100004)</f>
        <v>10100004</v>
      </c>
      <c r="B2154" s="62" t="str">
        <f ca="1">IFERROR(__xludf.DUMMYFUNCTION("""COMPUTED_VALUE"""),"Placa Samsung S9 G960U-US-64gb-4GB-Snapdragon 845")</f>
        <v>Placa Samsung S9 G960U-US-64gb-4GB-Snapdragon 845</v>
      </c>
      <c r="C2154" s="75">
        <f ca="1">IFERROR(__xludf.DUMMYFUNCTION("""COMPUTED_VALUE"""),550)</f>
        <v>550</v>
      </c>
      <c r="D2154" s="75">
        <f ca="1">IFERROR(__xludf.DUMMYFUNCTION("""COMPUTED_VALUE"""),50)</f>
        <v>50</v>
      </c>
      <c r="E2154" s="76">
        <f ca="1">IFERROR(__xludf.DUMMYFUNCTION("""COMPUTED_VALUE"""),600)</f>
        <v>600</v>
      </c>
      <c r="F2154" s="77">
        <f ca="1">IFERROR(__xludf.DUMMYFUNCTION("""COMPUTED_VALUE"""),10100004)</f>
        <v>10100004</v>
      </c>
      <c r="G2154" s="77" t="str">
        <f t="shared" ca="1" si="8"/>
        <v>si</v>
      </c>
    </row>
    <row r="2155" spans="1:7" ht="12.75" x14ac:dyDescent="0.2">
      <c r="A2155" s="62">
        <f ca="1">IFERROR(__xludf.DUMMYFUNCTION("""COMPUTED_VALUE"""),10100005)</f>
        <v>10100005</v>
      </c>
      <c r="B2155" s="62" t="str">
        <f ca="1">IFERROR(__xludf.DUMMYFUNCTION("""COMPUTED_VALUE"""),"Placa SamsungS9 plus G965U-US-64gb-6GB-Snapdragon 845、")</f>
        <v>Placa SamsungS9 plus G965U-US-64gb-6GB-Snapdragon 845、</v>
      </c>
      <c r="C2155" s="75">
        <f ca="1">IFERROR(__xludf.DUMMYFUNCTION("""COMPUTED_VALUE"""),600)</f>
        <v>600</v>
      </c>
      <c r="D2155" s="75">
        <f ca="1">IFERROR(__xludf.DUMMYFUNCTION("""COMPUTED_VALUE"""),50)</f>
        <v>50</v>
      </c>
      <c r="E2155" s="76">
        <f ca="1">IFERROR(__xludf.DUMMYFUNCTION("""COMPUTED_VALUE"""),650)</f>
        <v>650</v>
      </c>
      <c r="F2155" s="77">
        <f ca="1">IFERROR(__xludf.DUMMYFUNCTION("""COMPUTED_VALUE"""),10100005)</f>
        <v>10100005</v>
      </c>
      <c r="G2155" s="77" t="str">
        <f t="shared" ca="1" si="8"/>
        <v>si</v>
      </c>
    </row>
    <row r="2156" spans="1:7" ht="12.75" x14ac:dyDescent="0.2">
      <c r="A2156" s="62">
        <f ca="1">IFERROR(__xludf.DUMMYFUNCTION("""COMPUTED_VALUE"""),10100006)</f>
        <v>10100006</v>
      </c>
      <c r="B2156" s="62" t="str">
        <f ca="1">IFERROR(__xludf.DUMMYFUNCTION("""COMPUTED_VALUE"""),"Placa Samsung Note 8 N950U-US-64gb-6GB-Snapdragon 835")</f>
        <v>Placa Samsung Note 8 N950U-US-64gb-6GB-Snapdragon 835</v>
      </c>
      <c r="C2156" s="75">
        <f ca="1">IFERROR(__xludf.DUMMYFUNCTION("""COMPUTED_VALUE"""),540)</f>
        <v>540</v>
      </c>
      <c r="D2156" s="75">
        <f ca="1">IFERROR(__xludf.DUMMYFUNCTION("""COMPUTED_VALUE"""),50)</f>
        <v>50</v>
      </c>
      <c r="E2156" s="76">
        <f ca="1">IFERROR(__xludf.DUMMYFUNCTION("""COMPUTED_VALUE"""),590)</f>
        <v>590</v>
      </c>
      <c r="F2156" s="77">
        <f ca="1">IFERROR(__xludf.DUMMYFUNCTION("""COMPUTED_VALUE"""),10100006)</f>
        <v>10100006</v>
      </c>
      <c r="G2156" s="77" t="str">
        <f t="shared" ca="1" si="8"/>
        <v>si</v>
      </c>
    </row>
    <row r="2157" spans="1:7" ht="12.75" x14ac:dyDescent="0.2">
      <c r="A2157" s="62">
        <f ca="1">IFERROR(__xludf.DUMMYFUNCTION("""COMPUTED_VALUE"""),10100007)</f>
        <v>10100007</v>
      </c>
      <c r="B2157" s="62" t="str">
        <f ca="1">IFERROR(__xludf.DUMMYFUNCTION("""COMPUTED_VALUE"""),"Placa Samsung S10 G973U-US-128gb-8GB-Snapdragon 855")</f>
        <v>Placa Samsung S10 G973U-US-128gb-8GB-Snapdragon 855</v>
      </c>
      <c r="C2157" s="75">
        <f ca="1">IFERROR(__xludf.DUMMYFUNCTION("""COMPUTED_VALUE"""),590)</f>
        <v>590</v>
      </c>
      <c r="D2157" s="75">
        <f ca="1">IFERROR(__xludf.DUMMYFUNCTION("""COMPUTED_VALUE"""),50)</f>
        <v>50</v>
      </c>
      <c r="E2157" s="76">
        <f ca="1">IFERROR(__xludf.DUMMYFUNCTION("""COMPUTED_VALUE"""),640)</f>
        <v>640</v>
      </c>
      <c r="F2157" s="77">
        <f ca="1">IFERROR(__xludf.DUMMYFUNCTION("""COMPUTED_VALUE"""),10100007)</f>
        <v>10100007</v>
      </c>
      <c r="G2157" s="77" t="str">
        <f t="shared" ca="1" si="8"/>
        <v>si</v>
      </c>
    </row>
    <row r="2158" spans="1:7" ht="12.75" x14ac:dyDescent="0.2">
      <c r="A2158" s="62">
        <f ca="1">IFERROR(__xludf.DUMMYFUNCTION("""COMPUTED_VALUE"""),10100008)</f>
        <v>10100008</v>
      </c>
      <c r="B2158" s="62" t="str">
        <f ca="1">IFERROR(__xludf.DUMMYFUNCTION("""COMPUTED_VALUE"""),"Placa Samsung S10 plus G975U-US-128gb-12GB-Snapdragon 855")</f>
        <v>Placa Samsung S10 plus G975U-US-128gb-12GB-Snapdragon 855</v>
      </c>
      <c r="C2158" s="75">
        <f ca="1">IFERROR(__xludf.DUMMYFUNCTION("""COMPUTED_VALUE"""),690)</f>
        <v>690</v>
      </c>
      <c r="D2158" s="75">
        <f ca="1">IFERROR(__xludf.DUMMYFUNCTION("""COMPUTED_VALUE"""),50)</f>
        <v>50</v>
      </c>
      <c r="E2158" s="76">
        <f ca="1">IFERROR(__xludf.DUMMYFUNCTION("""COMPUTED_VALUE"""),740)</f>
        <v>740</v>
      </c>
      <c r="F2158" s="77">
        <f ca="1">IFERROR(__xludf.DUMMYFUNCTION("""COMPUTED_VALUE"""),10100008)</f>
        <v>10100008</v>
      </c>
      <c r="G2158" s="77" t="str">
        <f t="shared" ca="1" si="8"/>
        <v>si</v>
      </c>
    </row>
    <row r="2159" spans="1:7" ht="12.75" x14ac:dyDescent="0.2">
      <c r="A2159" s="62">
        <f ca="1">IFERROR(__xludf.DUMMYFUNCTION("""COMPUTED_VALUE"""),10100009)</f>
        <v>10100009</v>
      </c>
      <c r="B2159" s="62" t="str">
        <f ca="1">IFERROR(__xludf.DUMMYFUNCTION("""COMPUTED_VALUE"""),"Placa Samsung Note 9 N960U-US-128gb-8GB-Snapdragon 845")</f>
        <v>Placa Samsung Note 9 N960U-US-128gb-8GB-Snapdragon 845</v>
      </c>
      <c r="C2159" s="75">
        <f ca="1">IFERROR(__xludf.DUMMYFUNCTION("""COMPUTED_VALUE"""),590)</f>
        <v>590</v>
      </c>
      <c r="D2159" s="75">
        <f ca="1">IFERROR(__xludf.DUMMYFUNCTION("""COMPUTED_VALUE"""),50)</f>
        <v>50</v>
      </c>
      <c r="E2159" s="76">
        <f ca="1">IFERROR(__xludf.DUMMYFUNCTION("""COMPUTED_VALUE"""),640)</f>
        <v>640</v>
      </c>
      <c r="F2159" s="77">
        <f ca="1">IFERROR(__xludf.DUMMYFUNCTION("""COMPUTED_VALUE"""),10100009)</f>
        <v>10100009</v>
      </c>
      <c r="G2159" s="77" t="str">
        <f t="shared" ca="1" si="8"/>
        <v>si</v>
      </c>
    </row>
    <row r="2160" spans="1:7" ht="12.75" x14ac:dyDescent="0.2">
      <c r="A2160" s="62">
        <f ca="1">IFERROR(__xludf.DUMMYFUNCTION("""COMPUTED_VALUE"""),10100010)</f>
        <v>10100010</v>
      </c>
      <c r="B2160" s="62" t="str">
        <f ca="1">IFERROR(__xludf.DUMMYFUNCTION("""COMPUTED_VALUE"""),"Placa Samsung S20 G981U-US-128gb-12GB-Snapdragon 865")</f>
        <v>Placa Samsung S20 G981U-US-128gb-12GB-Snapdragon 865</v>
      </c>
      <c r="C2160" s="75">
        <f ca="1">IFERROR(__xludf.DUMMYFUNCTION("""COMPUTED_VALUE"""),840)</f>
        <v>840</v>
      </c>
      <c r="D2160" s="75">
        <f ca="1">IFERROR(__xludf.DUMMYFUNCTION("""COMPUTED_VALUE"""),50)</f>
        <v>50</v>
      </c>
      <c r="E2160" s="76">
        <f ca="1">IFERROR(__xludf.DUMMYFUNCTION("""COMPUTED_VALUE"""),890)</f>
        <v>890</v>
      </c>
      <c r="F2160" s="77">
        <f ca="1">IFERROR(__xludf.DUMMYFUNCTION("""COMPUTED_VALUE"""),10100010)</f>
        <v>10100010</v>
      </c>
      <c r="G2160" s="77" t="str">
        <f t="shared" ca="1" si="8"/>
        <v>si</v>
      </c>
    </row>
    <row r="2161" spans="1:7" ht="12.75" x14ac:dyDescent="0.2">
      <c r="A2161" s="62">
        <f ca="1">IFERROR(__xludf.DUMMYFUNCTION("""COMPUTED_VALUE"""),10100011)</f>
        <v>10100011</v>
      </c>
      <c r="B2161" s="62" t="str">
        <f ca="1">IFERROR(__xludf.DUMMYFUNCTION("""COMPUTED_VALUE"""),"Placa Samsung S20 plus G986U-US-128gb-12GB-Snapdragon 865 5G")</f>
        <v>Placa Samsung S20 plus G986U-US-128gb-12GB-Snapdragon 865 5G</v>
      </c>
      <c r="C2161" s="75">
        <f ca="1">IFERROR(__xludf.DUMMYFUNCTION("""COMPUTED_VALUE"""),890)</f>
        <v>890</v>
      </c>
      <c r="D2161" s="75">
        <f ca="1">IFERROR(__xludf.DUMMYFUNCTION("""COMPUTED_VALUE"""),50)</f>
        <v>50</v>
      </c>
      <c r="E2161" s="76">
        <f ca="1">IFERROR(__xludf.DUMMYFUNCTION("""COMPUTED_VALUE"""),940)</f>
        <v>940</v>
      </c>
      <c r="F2161" s="77">
        <f ca="1">IFERROR(__xludf.DUMMYFUNCTION("""COMPUTED_VALUE"""),10100011)</f>
        <v>10100011</v>
      </c>
      <c r="G2161" s="77" t="str">
        <f t="shared" ca="1" si="8"/>
        <v>si</v>
      </c>
    </row>
    <row r="2162" spans="1:7" ht="12.75" x14ac:dyDescent="0.2">
      <c r="A2162" s="62">
        <f ca="1">IFERROR(__xludf.DUMMYFUNCTION("""COMPUTED_VALUE"""),10100012)</f>
        <v>10100012</v>
      </c>
      <c r="B2162" s="62" t="str">
        <f ca="1">IFERROR(__xludf.DUMMYFUNCTION("""COMPUTED_VALUE"""),"Placa Samsung S20 Ultra G988U-US-128gb-12GB-Snapdragon 865 5G")</f>
        <v>Placa Samsung S20 Ultra G988U-US-128gb-12GB-Snapdragon 865 5G</v>
      </c>
      <c r="C2162" s="75">
        <f ca="1">IFERROR(__xludf.DUMMYFUNCTION("""COMPUTED_VALUE"""),990)</f>
        <v>990</v>
      </c>
      <c r="D2162" s="75">
        <f ca="1">IFERROR(__xludf.DUMMYFUNCTION("""COMPUTED_VALUE"""),50)</f>
        <v>50</v>
      </c>
      <c r="E2162" s="76">
        <f ca="1">IFERROR(__xludf.DUMMYFUNCTION("""COMPUTED_VALUE"""),1040)</f>
        <v>1040</v>
      </c>
      <c r="F2162" s="77">
        <f ca="1">IFERROR(__xludf.DUMMYFUNCTION("""COMPUTED_VALUE"""),10100012)</f>
        <v>10100012</v>
      </c>
      <c r="G2162" s="77" t="str">
        <f t="shared" ca="1" si="8"/>
        <v>si</v>
      </c>
    </row>
    <row r="2163" spans="1:7" ht="12.75" x14ac:dyDescent="0.2">
      <c r="A2163" s="62">
        <f ca="1">IFERROR(__xludf.DUMMYFUNCTION("""COMPUTED_VALUE"""),10100013)</f>
        <v>10100013</v>
      </c>
      <c r="B2163" s="62" t="str">
        <f ca="1">IFERROR(__xludf.DUMMYFUNCTION("""COMPUTED_VALUE"""),"Placa Samsung Note 10 N970U-US-256gb-8GB-Snapdragon 855")</f>
        <v>Placa Samsung Note 10 N970U-US-256gb-8GB-Snapdragon 855</v>
      </c>
      <c r="C2163" s="75">
        <f ca="1">IFERROR(__xludf.DUMMYFUNCTION("""COMPUTED_VALUE"""),740)</f>
        <v>740</v>
      </c>
      <c r="D2163" s="75">
        <f ca="1">IFERROR(__xludf.DUMMYFUNCTION("""COMPUTED_VALUE"""),50)</f>
        <v>50</v>
      </c>
      <c r="E2163" s="76">
        <f ca="1">IFERROR(__xludf.DUMMYFUNCTION("""COMPUTED_VALUE"""),790)</f>
        <v>790</v>
      </c>
      <c r="F2163" s="77">
        <f ca="1">IFERROR(__xludf.DUMMYFUNCTION("""COMPUTED_VALUE"""),10100013)</f>
        <v>10100013</v>
      </c>
      <c r="G2163" s="77" t="str">
        <f t="shared" ca="1" si="8"/>
        <v>si</v>
      </c>
    </row>
    <row r="2164" spans="1:7" ht="12.75" x14ac:dyDescent="0.2">
      <c r="A2164" s="62">
        <f ca="1">IFERROR(__xludf.DUMMYFUNCTION("""COMPUTED_VALUE"""),10100014)</f>
        <v>10100014</v>
      </c>
      <c r="B2164" s="62" t="str">
        <f ca="1">IFERROR(__xludf.DUMMYFUNCTION("""COMPUTED_VALUE"""),"Placa Samsung Note 10 plus N975U-US-256gb-12GB-Snapdragon855")</f>
        <v>Placa Samsung Note 10 plus N975U-US-256gb-12GB-Snapdragon855</v>
      </c>
      <c r="C2164" s="75">
        <f ca="1">IFERROR(__xludf.DUMMYFUNCTION("""COMPUTED_VALUE"""),840)</f>
        <v>840</v>
      </c>
      <c r="D2164" s="75">
        <f ca="1">IFERROR(__xludf.DUMMYFUNCTION("""COMPUTED_VALUE"""),50)</f>
        <v>50</v>
      </c>
      <c r="E2164" s="76">
        <f ca="1">IFERROR(__xludf.DUMMYFUNCTION("""COMPUTED_VALUE"""),890)</f>
        <v>890</v>
      </c>
      <c r="F2164" s="77">
        <f ca="1">IFERROR(__xludf.DUMMYFUNCTION("""COMPUTED_VALUE"""),10100014)</f>
        <v>10100014</v>
      </c>
      <c r="G2164" s="77" t="str">
        <f t="shared" ca="1" si="8"/>
        <v>si</v>
      </c>
    </row>
    <row r="2165" spans="1:7" ht="12.75" x14ac:dyDescent="0.2">
      <c r="A2165" s="62">
        <f ca="1">IFERROR(__xludf.DUMMYFUNCTION("""COMPUTED_VALUE"""),10100015)</f>
        <v>10100015</v>
      </c>
      <c r="B2165" s="62" t="str">
        <f ca="1">IFERROR(__xludf.DUMMYFUNCTION("""COMPUTED_VALUE"""),"Placa Samsung S8 plus G955-CN (china)-128gb-4GB-MSM8998")</f>
        <v>Placa Samsung S8 plus G955-CN (china)-128gb-4GB-MSM8998</v>
      </c>
      <c r="C2165" s="75">
        <f ca="1">IFERROR(__xludf.DUMMYFUNCTION("""COMPUTED_VALUE"""),540)</f>
        <v>540</v>
      </c>
      <c r="D2165" s="75">
        <f ca="1">IFERROR(__xludf.DUMMYFUNCTION("""COMPUTED_VALUE"""),50)</f>
        <v>50</v>
      </c>
      <c r="E2165" s="76">
        <f ca="1">IFERROR(__xludf.DUMMYFUNCTION("""COMPUTED_VALUE"""),590)</f>
        <v>590</v>
      </c>
      <c r="F2165" s="77">
        <f ca="1">IFERROR(__xludf.DUMMYFUNCTION("""COMPUTED_VALUE"""),10100015)</f>
        <v>10100015</v>
      </c>
      <c r="G2165" s="77" t="str">
        <f t="shared" ca="1" si="8"/>
        <v>si</v>
      </c>
    </row>
    <row r="2166" spans="1:7" ht="12.75" x14ac:dyDescent="0.2">
      <c r="A2166" s="62">
        <f ca="1">IFERROR(__xludf.DUMMYFUNCTION("""COMPUTED_VALUE"""),10100016)</f>
        <v>10100016</v>
      </c>
      <c r="B2166" s="62" t="str">
        <f ca="1">IFERROR(__xludf.DUMMYFUNCTION("""COMPUTED_VALUE"""),"Placa Samsung S9 G9600-CN (china)-128gb-4GB-Snapdragon 845")</f>
        <v>Placa Samsung S9 G9600-CN (china)-128gb-4GB-Snapdragon 845</v>
      </c>
      <c r="C2166" s="75">
        <f ca="1">IFERROR(__xludf.DUMMYFUNCTION("""COMPUTED_VALUE"""),790)</f>
        <v>790</v>
      </c>
      <c r="D2166" s="75">
        <f ca="1">IFERROR(__xludf.DUMMYFUNCTION("""COMPUTED_VALUE"""),50)</f>
        <v>50</v>
      </c>
      <c r="E2166" s="76">
        <f ca="1">IFERROR(__xludf.DUMMYFUNCTION("""COMPUTED_VALUE"""),840)</f>
        <v>840</v>
      </c>
      <c r="F2166" s="77">
        <f ca="1">IFERROR(__xludf.DUMMYFUNCTION("""COMPUTED_VALUE"""),10100016)</f>
        <v>10100016</v>
      </c>
      <c r="G2166" s="77" t="str">
        <f t="shared" ca="1" si="8"/>
        <v>si</v>
      </c>
    </row>
    <row r="2167" spans="1:7" ht="12.75" x14ac:dyDescent="0.2">
      <c r="A2167" s="62">
        <f ca="1">IFERROR(__xludf.DUMMYFUNCTION("""COMPUTED_VALUE"""),10100017)</f>
        <v>10100017</v>
      </c>
      <c r="B2167" s="62" t="str">
        <f ca="1">IFERROR(__xludf.DUMMYFUNCTION("""COMPUTED_VALUE"""),"Placa Samsung S9 plus G9650-CN (china)-128gb-6GB-Snapdragon845")</f>
        <v>Placa Samsung S9 plus G9650-CN (china)-128gb-6GB-Snapdragon845</v>
      </c>
      <c r="C2167" s="75">
        <f ca="1">IFERROR(__xludf.DUMMYFUNCTION("""COMPUTED_VALUE"""),790)</f>
        <v>790</v>
      </c>
      <c r="D2167" s="75">
        <f ca="1">IFERROR(__xludf.DUMMYFUNCTION("""COMPUTED_VALUE"""),50)</f>
        <v>50</v>
      </c>
      <c r="E2167" s="76">
        <f ca="1">IFERROR(__xludf.DUMMYFUNCTION("""COMPUTED_VALUE"""),840)</f>
        <v>840</v>
      </c>
      <c r="F2167" s="77">
        <f ca="1">IFERROR(__xludf.DUMMYFUNCTION("""COMPUTED_VALUE"""),10100017)</f>
        <v>10100017</v>
      </c>
      <c r="G2167" s="77" t="str">
        <f t="shared" ca="1" si="8"/>
        <v>si</v>
      </c>
    </row>
    <row r="2168" spans="1:7" ht="12.75" x14ac:dyDescent="0.2">
      <c r="A2168" s="62">
        <f ca="1">IFERROR(__xludf.DUMMYFUNCTION("""COMPUTED_VALUE"""),10100018)</f>
        <v>10100018</v>
      </c>
      <c r="B2168" s="62" t="str">
        <f ca="1">IFERROR(__xludf.DUMMYFUNCTION("""COMPUTED_VALUE"""),"Placa Samsung Note 8 N9500-CN (china)-256gb-6GB-Exynos 8895")</f>
        <v>Placa Samsung Note 8 N9500-CN (china)-256gb-6GB-Exynos 8895</v>
      </c>
      <c r="C2168" s="75">
        <f ca="1">IFERROR(__xludf.DUMMYFUNCTION("""COMPUTED_VALUE"""),690)</f>
        <v>690</v>
      </c>
      <c r="D2168" s="75">
        <f ca="1">IFERROR(__xludf.DUMMYFUNCTION("""COMPUTED_VALUE"""),50)</f>
        <v>50</v>
      </c>
      <c r="E2168" s="76">
        <f ca="1">IFERROR(__xludf.DUMMYFUNCTION("""COMPUTED_VALUE"""),740)</f>
        <v>740</v>
      </c>
      <c r="F2168" s="77">
        <f ca="1">IFERROR(__xludf.DUMMYFUNCTION("""COMPUTED_VALUE"""),10100018)</f>
        <v>10100018</v>
      </c>
      <c r="G2168" s="77" t="str">
        <f t="shared" ca="1" si="8"/>
        <v>si</v>
      </c>
    </row>
    <row r="2169" spans="1:7" ht="12.75" x14ac:dyDescent="0.2">
      <c r="A2169" s="62">
        <f ca="1">IFERROR(__xludf.DUMMYFUNCTION("""COMPUTED_VALUE"""),10100019)</f>
        <v>10100019</v>
      </c>
      <c r="B2169" s="62" t="str">
        <f ca="1">IFERROR(__xludf.DUMMYFUNCTION("""COMPUTED_VALUE"""),"Samsung Modulo NFC de Carga S8")</f>
        <v>Samsung Modulo NFC de Carga S8</v>
      </c>
      <c r="C2169" s="75">
        <f ca="1">IFERROR(__xludf.DUMMYFUNCTION("""COMPUTED_VALUE"""),80)</f>
        <v>80</v>
      </c>
      <c r="D2169" s="75">
        <f ca="1">IFERROR(__xludf.DUMMYFUNCTION("""COMPUTED_VALUE"""),30)</f>
        <v>30</v>
      </c>
      <c r="E2169" s="76">
        <f ca="1">IFERROR(__xludf.DUMMYFUNCTION("""COMPUTED_VALUE"""),110)</f>
        <v>110</v>
      </c>
      <c r="F2169" s="77">
        <f ca="1">IFERROR(__xludf.DUMMYFUNCTION("""COMPUTED_VALUE"""),10100019)</f>
        <v>10100019</v>
      </c>
      <c r="G2169" s="77" t="str">
        <f t="shared" ca="1" si="8"/>
        <v>si</v>
      </c>
    </row>
    <row r="2170" spans="1:7" ht="12.75" x14ac:dyDescent="0.2">
      <c r="A2170" s="62">
        <f ca="1">IFERROR(__xludf.DUMMYFUNCTION("""COMPUTED_VALUE"""),10100020)</f>
        <v>10100020</v>
      </c>
      <c r="B2170" s="62" t="str">
        <f ca="1">IFERROR(__xludf.DUMMYFUNCTION("""COMPUTED_VALUE"""),"Samsung Modulo NFC de Carga S8 Plus ")</f>
        <v xml:space="preserve">Samsung Modulo NFC de Carga S8 Plus </v>
      </c>
      <c r="C2170" s="75">
        <f ca="1">IFERROR(__xludf.DUMMYFUNCTION("""COMPUTED_VALUE"""),80)</f>
        <v>80</v>
      </c>
      <c r="D2170" s="75">
        <f ca="1">IFERROR(__xludf.DUMMYFUNCTION("""COMPUTED_VALUE"""),30)</f>
        <v>30</v>
      </c>
      <c r="E2170" s="76">
        <f ca="1">IFERROR(__xludf.DUMMYFUNCTION("""COMPUTED_VALUE"""),110)</f>
        <v>110</v>
      </c>
      <c r="F2170" s="77">
        <f ca="1">IFERROR(__xludf.DUMMYFUNCTION("""COMPUTED_VALUE"""),10100020)</f>
        <v>10100020</v>
      </c>
      <c r="G2170" s="77" t="str">
        <f t="shared" ca="1" si="8"/>
        <v>si</v>
      </c>
    </row>
    <row r="2171" spans="1:7" ht="12.75" x14ac:dyDescent="0.2">
      <c r="A2171" s="62">
        <f ca="1">IFERROR(__xludf.DUMMYFUNCTION("""COMPUTED_VALUE"""),10100021)</f>
        <v>10100021</v>
      </c>
      <c r="B2171" s="62" t="str">
        <f ca="1">IFERROR(__xludf.DUMMYFUNCTION("""COMPUTED_VALUE"""),"Samsung Modulo NFC de Carga S9")</f>
        <v>Samsung Modulo NFC de Carga S9</v>
      </c>
      <c r="C2171" s="75">
        <f ca="1">IFERROR(__xludf.DUMMYFUNCTION("""COMPUTED_VALUE"""),90)</f>
        <v>90</v>
      </c>
      <c r="D2171" s="75">
        <f ca="1">IFERROR(__xludf.DUMMYFUNCTION("""COMPUTED_VALUE"""),30)</f>
        <v>30</v>
      </c>
      <c r="E2171" s="76">
        <f ca="1">IFERROR(__xludf.DUMMYFUNCTION("""COMPUTED_VALUE"""),120)</f>
        <v>120</v>
      </c>
      <c r="F2171" s="77">
        <f ca="1">IFERROR(__xludf.DUMMYFUNCTION("""COMPUTED_VALUE"""),10100021)</f>
        <v>10100021</v>
      </c>
      <c r="G2171" s="77" t="str">
        <f t="shared" ca="1" si="8"/>
        <v>si</v>
      </c>
    </row>
    <row r="2172" spans="1:7" ht="12.75" x14ac:dyDescent="0.2">
      <c r="A2172" s="62">
        <f ca="1">IFERROR(__xludf.DUMMYFUNCTION("""COMPUTED_VALUE"""),10100022)</f>
        <v>10100022</v>
      </c>
      <c r="B2172" s="62" t="str">
        <f ca="1">IFERROR(__xludf.DUMMYFUNCTION("""COMPUTED_VALUE"""),"Samsung Modulo NFC de Carga S9 Plus")</f>
        <v>Samsung Modulo NFC de Carga S9 Plus</v>
      </c>
      <c r="C2172" s="75">
        <f ca="1">IFERROR(__xludf.DUMMYFUNCTION("""COMPUTED_VALUE"""),90)</f>
        <v>90</v>
      </c>
      <c r="D2172" s="75">
        <f ca="1">IFERROR(__xludf.DUMMYFUNCTION("""COMPUTED_VALUE"""),30)</f>
        <v>30</v>
      </c>
      <c r="E2172" s="76">
        <f ca="1">IFERROR(__xludf.DUMMYFUNCTION("""COMPUTED_VALUE"""),120)</f>
        <v>120</v>
      </c>
      <c r="F2172" s="77">
        <f ca="1">IFERROR(__xludf.DUMMYFUNCTION("""COMPUTED_VALUE"""),10100022)</f>
        <v>10100022</v>
      </c>
      <c r="G2172" s="77" t="str">
        <f t="shared" ca="1" si="8"/>
        <v>si</v>
      </c>
    </row>
    <row r="2173" spans="1:7" ht="12.75" x14ac:dyDescent="0.2">
      <c r="A2173" s="62">
        <f ca="1">IFERROR(__xludf.DUMMYFUNCTION("""COMPUTED_VALUE"""),10100023)</f>
        <v>10100023</v>
      </c>
      <c r="B2173" s="62" t="str">
        <f ca="1">IFERROR(__xludf.DUMMYFUNCTION("""COMPUTED_VALUE"""),"Samsung Modulo NFC de Carga S10")</f>
        <v>Samsung Modulo NFC de Carga S10</v>
      </c>
      <c r="C2173" s="75">
        <f ca="1">IFERROR(__xludf.DUMMYFUNCTION("""COMPUTED_VALUE"""),100)</f>
        <v>100</v>
      </c>
      <c r="D2173" s="75">
        <f ca="1">IFERROR(__xludf.DUMMYFUNCTION("""COMPUTED_VALUE"""),30)</f>
        <v>30</v>
      </c>
      <c r="E2173" s="76">
        <f ca="1">IFERROR(__xludf.DUMMYFUNCTION("""COMPUTED_VALUE"""),130)</f>
        <v>130</v>
      </c>
      <c r="F2173" s="77">
        <f ca="1">IFERROR(__xludf.DUMMYFUNCTION("""COMPUTED_VALUE"""),10100023)</f>
        <v>10100023</v>
      </c>
      <c r="G2173" s="77" t="str">
        <f t="shared" ca="1" si="8"/>
        <v>si</v>
      </c>
    </row>
    <row r="2174" spans="1:7" ht="12.75" x14ac:dyDescent="0.2">
      <c r="A2174" s="62">
        <f ca="1">IFERROR(__xludf.DUMMYFUNCTION("""COMPUTED_VALUE"""),10100024)</f>
        <v>10100024</v>
      </c>
      <c r="B2174" s="62" t="str">
        <f ca="1">IFERROR(__xludf.DUMMYFUNCTION("""COMPUTED_VALUE"""),"Samsung Modulo NFC de Carga S10 Plus")</f>
        <v>Samsung Modulo NFC de Carga S10 Plus</v>
      </c>
      <c r="C2174" s="75">
        <f ca="1">IFERROR(__xludf.DUMMYFUNCTION("""COMPUTED_VALUE"""),100)</f>
        <v>100</v>
      </c>
      <c r="D2174" s="75">
        <f ca="1">IFERROR(__xludf.DUMMYFUNCTION("""COMPUTED_VALUE"""),30)</f>
        <v>30</v>
      </c>
      <c r="E2174" s="76">
        <f ca="1">IFERROR(__xludf.DUMMYFUNCTION("""COMPUTED_VALUE"""),130)</f>
        <v>130</v>
      </c>
      <c r="F2174" s="77">
        <f ca="1">IFERROR(__xludf.DUMMYFUNCTION("""COMPUTED_VALUE"""),10100024)</f>
        <v>10100024</v>
      </c>
      <c r="G2174" s="77" t="str">
        <f t="shared" ca="1" si="8"/>
        <v>si</v>
      </c>
    </row>
    <row r="2175" spans="1:7" ht="12.75" x14ac:dyDescent="0.2">
      <c r="A2175" s="62">
        <f ca="1">IFERROR(__xludf.DUMMYFUNCTION("""COMPUTED_VALUE"""),10100025)</f>
        <v>10100025</v>
      </c>
      <c r="B2175" s="62" t="str">
        <f ca="1">IFERROR(__xludf.DUMMYFUNCTION("""COMPUTED_VALUE"""),"Samsung Modulo NFC de Carga S10e")</f>
        <v>Samsung Modulo NFC de Carga S10e</v>
      </c>
      <c r="C2175" s="75">
        <f ca="1">IFERROR(__xludf.DUMMYFUNCTION("""COMPUTED_VALUE"""),100)</f>
        <v>100</v>
      </c>
      <c r="D2175" s="75">
        <f ca="1">IFERROR(__xludf.DUMMYFUNCTION("""COMPUTED_VALUE"""),30)</f>
        <v>30</v>
      </c>
      <c r="E2175" s="76">
        <f ca="1">IFERROR(__xludf.DUMMYFUNCTION("""COMPUTED_VALUE"""),130)</f>
        <v>130</v>
      </c>
      <c r="F2175" s="77">
        <f ca="1">IFERROR(__xludf.DUMMYFUNCTION("""COMPUTED_VALUE"""),10100025)</f>
        <v>10100025</v>
      </c>
      <c r="G2175" s="77" t="str">
        <f t="shared" ca="1" si="8"/>
        <v>si</v>
      </c>
    </row>
    <row r="2176" spans="1:7" ht="12.75" x14ac:dyDescent="0.2">
      <c r="A2176" s="62">
        <f ca="1">IFERROR(__xludf.DUMMYFUNCTION("""COMPUTED_VALUE"""),10100026)</f>
        <v>10100026</v>
      </c>
      <c r="B2176" s="62" t="str">
        <f ca="1">IFERROR(__xludf.DUMMYFUNCTION("""COMPUTED_VALUE"""),"Samsung Modulo NFC de Carga S20")</f>
        <v>Samsung Modulo NFC de Carga S20</v>
      </c>
      <c r="C2176" s="75">
        <f ca="1">IFERROR(__xludf.DUMMYFUNCTION("""COMPUTED_VALUE"""),130)</f>
        <v>130</v>
      </c>
      <c r="D2176" s="75">
        <f ca="1">IFERROR(__xludf.DUMMYFUNCTION("""COMPUTED_VALUE"""),30)</f>
        <v>30</v>
      </c>
      <c r="E2176" s="76">
        <f ca="1">IFERROR(__xludf.DUMMYFUNCTION("""COMPUTED_VALUE"""),160)</f>
        <v>160</v>
      </c>
      <c r="F2176" s="77">
        <f ca="1">IFERROR(__xludf.DUMMYFUNCTION("""COMPUTED_VALUE"""),10100026)</f>
        <v>10100026</v>
      </c>
      <c r="G2176" s="77" t="str">
        <f t="shared" ca="1" si="8"/>
        <v>si</v>
      </c>
    </row>
    <row r="2177" spans="1:7" ht="12.75" x14ac:dyDescent="0.2">
      <c r="A2177" s="62">
        <f ca="1">IFERROR(__xludf.DUMMYFUNCTION("""COMPUTED_VALUE"""),10100027)</f>
        <v>10100027</v>
      </c>
      <c r="B2177" s="62" t="str">
        <f ca="1">IFERROR(__xludf.DUMMYFUNCTION("""COMPUTED_VALUE"""),"Samsung Modulo NFC de Carga S20 Plus")</f>
        <v>Samsung Modulo NFC de Carga S20 Plus</v>
      </c>
      <c r="C2177" s="75">
        <f ca="1">IFERROR(__xludf.DUMMYFUNCTION("""COMPUTED_VALUE"""),130)</f>
        <v>130</v>
      </c>
      <c r="D2177" s="75">
        <f ca="1">IFERROR(__xludf.DUMMYFUNCTION("""COMPUTED_VALUE"""),30)</f>
        <v>30</v>
      </c>
      <c r="E2177" s="76">
        <f ca="1">IFERROR(__xludf.DUMMYFUNCTION("""COMPUTED_VALUE"""),160)</f>
        <v>160</v>
      </c>
      <c r="F2177" s="77">
        <f ca="1">IFERROR(__xludf.DUMMYFUNCTION("""COMPUTED_VALUE"""),10100027)</f>
        <v>10100027</v>
      </c>
      <c r="G2177" s="77" t="str">
        <f t="shared" ca="1" si="8"/>
        <v>si</v>
      </c>
    </row>
    <row r="2178" spans="1:7" ht="12.75" x14ac:dyDescent="0.2">
      <c r="A2178" s="62">
        <f ca="1">IFERROR(__xludf.DUMMYFUNCTION("""COMPUTED_VALUE"""),10100028)</f>
        <v>10100028</v>
      </c>
      <c r="B2178" s="62" t="str">
        <f ca="1">IFERROR(__xludf.DUMMYFUNCTION("""COMPUTED_VALUE"""),"Samsung Modulo NFC de Carga S20 Ultra")</f>
        <v>Samsung Modulo NFC de Carga S20 Ultra</v>
      </c>
      <c r="C2178" s="75">
        <f ca="1">IFERROR(__xludf.DUMMYFUNCTION("""COMPUTED_VALUE"""),130)</f>
        <v>130</v>
      </c>
      <c r="D2178" s="75">
        <f ca="1">IFERROR(__xludf.DUMMYFUNCTION("""COMPUTED_VALUE"""),30)</f>
        <v>30</v>
      </c>
      <c r="E2178" s="76">
        <f ca="1">IFERROR(__xludf.DUMMYFUNCTION("""COMPUTED_VALUE"""),160)</f>
        <v>160</v>
      </c>
      <c r="F2178" s="77">
        <f ca="1">IFERROR(__xludf.DUMMYFUNCTION("""COMPUTED_VALUE"""),10100028)</f>
        <v>10100028</v>
      </c>
      <c r="G2178" s="77" t="str">
        <f t="shared" ca="1" si="8"/>
        <v>si</v>
      </c>
    </row>
    <row r="2179" spans="1:7" ht="12.75" x14ac:dyDescent="0.2">
      <c r="A2179" s="62">
        <f ca="1">IFERROR(__xludf.DUMMYFUNCTION("""COMPUTED_VALUE"""),10100029)</f>
        <v>10100029</v>
      </c>
      <c r="B2179" s="62" t="str">
        <f ca="1">IFERROR(__xludf.DUMMYFUNCTION("""COMPUTED_VALUE"""),"Samsung Modulo NFC de Carga Note 8")</f>
        <v>Samsung Modulo NFC de Carga Note 8</v>
      </c>
      <c r="C2179" s="75">
        <f ca="1">IFERROR(__xludf.DUMMYFUNCTION("""COMPUTED_VALUE"""),80)</f>
        <v>80</v>
      </c>
      <c r="D2179" s="75">
        <f ca="1">IFERROR(__xludf.DUMMYFUNCTION("""COMPUTED_VALUE"""),30)</f>
        <v>30</v>
      </c>
      <c r="E2179" s="76">
        <f ca="1">IFERROR(__xludf.DUMMYFUNCTION("""COMPUTED_VALUE"""),110)</f>
        <v>110</v>
      </c>
      <c r="F2179" s="77">
        <f ca="1">IFERROR(__xludf.DUMMYFUNCTION("""COMPUTED_VALUE"""),10100029)</f>
        <v>10100029</v>
      </c>
      <c r="G2179" s="77" t="str">
        <f t="shared" ca="1" si="8"/>
        <v>si</v>
      </c>
    </row>
    <row r="2180" spans="1:7" ht="12.75" x14ac:dyDescent="0.2">
      <c r="A2180" s="62">
        <f ca="1">IFERROR(__xludf.DUMMYFUNCTION("""COMPUTED_VALUE"""),10100030)</f>
        <v>10100030</v>
      </c>
      <c r="B2180" s="62" t="str">
        <f ca="1">IFERROR(__xludf.DUMMYFUNCTION("""COMPUTED_VALUE"""),"Samsung Modulo NFC de Carga Note 9")</f>
        <v>Samsung Modulo NFC de Carga Note 9</v>
      </c>
      <c r="C2180" s="75">
        <f ca="1">IFERROR(__xludf.DUMMYFUNCTION("""COMPUTED_VALUE"""),90)</f>
        <v>90</v>
      </c>
      <c r="D2180" s="75">
        <f ca="1">IFERROR(__xludf.DUMMYFUNCTION("""COMPUTED_VALUE"""),30)</f>
        <v>30</v>
      </c>
      <c r="E2180" s="76">
        <f ca="1">IFERROR(__xludf.DUMMYFUNCTION("""COMPUTED_VALUE"""),120)</f>
        <v>120</v>
      </c>
      <c r="F2180" s="77">
        <f ca="1">IFERROR(__xludf.DUMMYFUNCTION("""COMPUTED_VALUE"""),10100030)</f>
        <v>10100030</v>
      </c>
      <c r="G2180" s="77" t="str">
        <f t="shared" ca="1" si="8"/>
        <v>si</v>
      </c>
    </row>
    <row r="2181" spans="1:7" ht="12.75" x14ac:dyDescent="0.2">
      <c r="A2181" s="62">
        <f ca="1">IFERROR(__xludf.DUMMYFUNCTION("""COMPUTED_VALUE"""),10100031)</f>
        <v>10100031</v>
      </c>
      <c r="B2181" s="62" t="str">
        <f ca="1">IFERROR(__xludf.DUMMYFUNCTION("""COMPUTED_VALUE"""),"Samsung Modulo NFC de Carga Note 10")</f>
        <v>Samsung Modulo NFC de Carga Note 10</v>
      </c>
      <c r="C2181" s="75">
        <f ca="1">IFERROR(__xludf.DUMMYFUNCTION("""COMPUTED_VALUE"""),100)</f>
        <v>100</v>
      </c>
      <c r="D2181" s="75">
        <f ca="1">IFERROR(__xludf.DUMMYFUNCTION("""COMPUTED_VALUE"""),30)</f>
        <v>30</v>
      </c>
      <c r="E2181" s="76">
        <f ca="1">IFERROR(__xludf.DUMMYFUNCTION("""COMPUTED_VALUE"""),130)</f>
        <v>130</v>
      </c>
      <c r="F2181" s="77">
        <f ca="1">IFERROR(__xludf.DUMMYFUNCTION("""COMPUTED_VALUE"""),10100031)</f>
        <v>10100031</v>
      </c>
      <c r="G2181" s="77" t="str">
        <f t="shared" ca="1" si="8"/>
        <v>si</v>
      </c>
    </row>
    <row r="2182" spans="1:7" ht="12.75" x14ac:dyDescent="0.2">
      <c r="A2182" s="62">
        <f ca="1">IFERROR(__xludf.DUMMYFUNCTION("""COMPUTED_VALUE"""),10100032)</f>
        <v>10100032</v>
      </c>
      <c r="B2182" s="62" t="str">
        <f ca="1">IFERROR(__xludf.DUMMYFUNCTION("""COMPUTED_VALUE"""),"Samsung Modulo NFC de Carga Note 10 Plus ")</f>
        <v xml:space="preserve">Samsung Modulo NFC de Carga Note 10 Plus </v>
      </c>
      <c r="C2182" s="75">
        <f ca="1">IFERROR(__xludf.DUMMYFUNCTION("""COMPUTED_VALUE"""),120)</f>
        <v>120</v>
      </c>
      <c r="D2182" s="75">
        <f ca="1">IFERROR(__xludf.DUMMYFUNCTION("""COMPUTED_VALUE"""),30)</f>
        <v>30</v>
      </c>
      <c r="E2182" s="76">
        <f ca="1">IFERROR(__xludf.DUMMYFUNCTION("""COMPUTED_VALUE"""),150)</f>
        <v>150</v>
      </c>
      <c r="F2182" s="77">
        <f ca="1">IFERROR(__xludf.DUMMYFUNCTION("""COMPUTED_VALUE"""),10100032)</f>
        <v>10100032</v>
      </c>
      <c r="G2182" s="77" t="str">
        <f t="shared" ca="1" si="8"/>
        <v>si</v>
      </c>
    </row>
    <row r="2183" spans="1:7" ht="12.75" x14ac:dyDescent="0.2">
      <c r="A2183" s="62">
        <f ca="1">IFERROR(__xludf.DUMMYFUNCTION("""COMPUTED_VALUE"""),10100033)</f>
        <v>10100033</v>
      </c>
      <c r="B2183" s="62" t="str">
        <f ca="1">IFERROR(__xludf.DUMMYFUNCTION("""COMPUTED_VALUE"""),"Samsung Modulo NFC de Carga Note 20")</f>
        <v>Samsung Modulo NFC de Carga Note 20</v>
      </c>
      <c r="C2183" s="75">
        <f ca="1">IFERROR(__xludf.DUMMYFUNCTION("""COMPUTED_VALUE"""),150)</f>
        <v>150</v>
      </c>
      <c r="D2183" s="75">
        <f ca="1">IFERROR(__xludf.DUMMYFUNCTION("""COMPUTED_VALUE"""),30)</f>
        <v>30</v>
      </c>
      <c r="E2183" s="76">
        <f ca="1">IFERROR(__xludf.DUMMYFUNCTION("""COMPUTED_VALUE"""),180)</f>
        <v>180</v>
      </c>
      <c r="F2183" s="77">
        <f ca="1">IFERROR(__xludf.DUMMYFUNCTION("""COMPUTED_VALUE"""),10100033)</f>
        <v>10100033</v>
      </c>
      <c r="G2183" s="77" t="str">
        <f t="shared" ca="1" si="8"/>
        <v>si</v>
      </c>
    </row>
    <row r="2184" spans="1:7" ht="12.75" x14ac:dyDescent="0.2">
      <c r="A2184" s="62">
        <f ca="1">IFERROR(__xludf.DUMMYFUNCTION("""COMPUTED_VALUE"""),10100034)</f>
        <v>10100034</v>
      </c>
      <c r="B2184" s="62" t="str">
        <f ca="1">IFERROR(__xludf.DUMMYFUNCTION("""COMPUTED_VALUE"""),"Samsung Modulo NFC de Carga Note 20 Ultra")</f>
        <v>Samsung Modulo NFC de Carga Note 20 Ultra</v>
      </c>
      <c r="C2184" s="75">
        <f ca="1">IFERROR(__xludf.DUMMYFUNCTION("""COMPUTED_VALUE"""),150)</f>
        <v>150</v>
      </c>
      <c r="D2184" s="75">
        <f ca="1">IFERROR(__xludf.DUMMYFUNCTION("""COMPUTED_VALUE"""),30)</f>
        <v>30</v>
      </c>
      <c r="E2184" s="76">
        <f ca="1">IFERROR(__xludf.DUMMYFUNCTION("""COMPUTED_VALUE"""),180)</f>
        <v>180</v>
      </c>
      <c r="F2184" s="77">
        <f ca="1">IFERROR(__xludf.DUMMYFUNCTION("""COMPUTED_VALUE"""),10100034)</f>
        <v>10100034</v>
      </c>
      <c r="G2184" s="77" t="str">
        <f t="shared" ca="1" si="8"/>
        <v>si</v>
      </c>
    </row>
    <row r="2185" spans="1:7" ht="12.75" x14ac:dyDescent="0.2">
      <c r="A2185" s="62">
        <f ca="1">IFERROR(__xludf.DUMMYFUNCTION("""COMPUTED_VALUE"""),10080382)</f>
        <v>10080382</v>
      </c>
      <c r="B2185" s="62" t="str">
        <f ca="1">IFERROR(__xludf.DUMMYFUNCTION("""COMPUTED_VALUE"""),"Modulo Lector SIM Huawei Mate 30 Pro 4G")</f>
        <v>Modulo Lector SIM Huawei Mate 30 Pro 4G</v>
      </c>
      <c r="C2185" s="75">
        <f ca="1">IFERROR(__xludf.DUMMYFUNCTION("""COMPUTED_VALUE"""),200)</f>
        <v>200</v>
      </c>
      <c r="D2185" s="75">
        <f ca="1">IFERROR(__xludf.DUMMYFUNCTION("""COMPUTED_VALUE"""),50)</f>
        <v>50</v>
      </c>
      <c r="E2185" s="76">
        <f ca="1">IFERROR(__xludf.DUMMYFUNCTION("""COMPUTED_VALUE"""),250)</f>
        <v>250</v>
      </c>
      <c r="F2185" s="77">
        <f ca="1">IFERROR(__xludf.DUMMYFUNCTION("""COMPUTED_VALUE"""),10080382)</f>
        <v>10080382</v>
      </c>
      <c r="G2185" s="77" t="str">
        <f t="shared" ca="1" si="8"/>
        <v>si</v>
      </c>
    </row>
    <row r="2186" spans="1:7" ht="12.75" x14ac:dyDescent="0.2">
      <c r="A2186" s="62">
        <f ca="1">IFERROR(__xludf.DUMMYFUNCTION("""COMPUTED_VALUE"""),10080383)</f>
        <v>10080383</v>
      </c>
      <c r="B2186" s="62" t="str">
        <f ca="1">IFERROR(__xludf.DUMMYFUNCTION("""COMPUTED_VALUE"""),"Modulo Lector SIM Huawei Mate 30 Pro 5G")</f>
        <v>Modulo Lector SIM Huawei Mate 30 Pro 5G</v>
      </c>
      <c r="C2186" s="75">
        <f ca="1">IFERROR(__xludf.DUMMYFUNCTION("""COMPUTED_VALUE"""),200)</f>
        <v>200</v>
      </c>
      <c r="D2186" s="75">
        <f ca="1">IFERROR(__xludf.DUMMYFUNCTION("""COMPUTED_VALUE"""),50)</f>
        <v>50</v>
      </c>
      <c r="E2186" s="76">
        <f ca="1">IFERROR(__xludf.DUMMYFUNCTION("""COMPUTED_VALUE"""),250)</f>
        <v>250</v>
      </c>
      <c r="F2186" s="77">
        <f ca="1">IFERROR(__xludf.DUMMYFUNCTION("""COMPUTED_VALUE"""),10080383)</f>
        <v>10080383</v>
      </c>
      <c r="G2186" s="77" t="str">
        <f t="shared" ca="1" si="8"/>
        <v>si</v>
      </c>
    </row>
    <row r="2187" spans="1:7" ht="12.75" x14ac:dyDescent="0.2">
      <c r="A2187" s="62">
        <f ca="1">IFERROR(__xludf.DUMMYFUNCTION("""COMPUTED_VALUE"""),20140384)</f>
        <v>20140384</v>
      </c>
      <c r="B2187" s="62" t="str">
        <f ca="1">IFERROR(__xludf.DUMMYFUNCTION("""COMPUTED_VALUE"""),"Aumento SSD Macbook A1932 500gb")</f>
        <v>Aumento SSD Macbook A1932 500gb</v>
      </c>
      <c r="C2187" s="75">
        <f ca="1">IFERROR(__xludf.DUMMYFUNCTION("""COMPUTED_VALUE"""),1090)</f>
        <v>1090</v>
      </c>
      <c r="D2187" s="75">
        <f ca="1">IFERROR(__xludf.DUMMYFUNCTION("""COMPUTED_VALUE"""),0)</f>
        <v>0</v>
      </c>
      <c r="E2187" s="76">
        <f ca="1">IFERROR(__xludf.DUMMYFUNCTION("""COMPUTED_VALUE"""),1090)</f>
        <v>1090</v>
      </c>
      <c r="F2187" s="77">
        <f ca="1">IFERROR(__xludf.DUMMYFUNCTION("""COMPUTED_VALUE"""),20140384)</f>
        <v>20140384</v>
      </c>
      <c r="G2187" s="77" t="str">
        <f t="shared" ca="1" si="8"/>
        <v>si</v>
      </c>
    </row>
    <row r="2188" spans="1:7" ht="12.75" x14ac:dyDescent="0.2">
      <c r="A2188" s="62">
        <f ca="1">IFERROR(__xludf.DUMMYFUNCTION("""COMPUTED_VALUE"""),20140385)</f>
        <v>20140385</v>
      </c>
      <c r="B2188" s="62" t="str">
        <f ca="1">IFERROR(__xludf.DUMMYFUNCTION("""COMPUTED_VALUE"""),"Aumento SSD Macbook A1989 1TB")</f>
        <v>Aumento SSD Macbook A1989 1TB</v>
      </c>
      <c r="C2188" s="75">
        <f ca="1">IFERROR(__xludf.DUMMYFUNCTION("""COMPUTED_VALUE"""),1290)</f>
        <v>1290</v>
      </c>
      <c r="D2188" s="75">
        <f ca="1">IFERROR(__xludf.DUMMYFUNCTION("""COMPUTED_VALUE"""),0)</f>
        <v>0</v>
      </c>
      <c r="E2188" s="76">
        <f ca="1">IFERROR(__xludf.DUMMYFUNCTION("""COMPUTED_VALUE"""),1290)</f>
        <v>1290</v>
      </c>
      <c r="F2188" s="77">
        <f ca="1">IFERROR(__xludf.DUMMYFUNCTION("""COMPUTED_VALUE"""),20140385)</f>
        <v>20140385</v>
      </c>
      <c r="G2188" s="77" t="str">
        <f t="shared" ca="1" si="8"/>
        <v>si</v>
      </c>
    </row>
    <row r="2189" spans="1:7" ht="12.75" x14ac:dyDescent="0.2">
      <c r="A2189" s="62">
        <f ca="1">IFERROR(__xludf.DUMMYFUNCTION("""COMPUTED_VALUE"""),20140386)</f>
        <v>20140386</v>
      </c>
      <c r="B2189" s="62" t="str">
        <f ca="1">IFERROR(__xludf.DUMMYFUNCTION("""COMPUTED_VALUE"""),"Aumento SSD Macbook A1990 2TB")</f>
        <v>Aumento SSD Macbook A1990 2TB</v>
      </c>
      <c r="C2189" s="75">
        <f ca="1">IFERROR(__xludf.DUMMYFUNCTION("""COMPUTED_VALUE"""),1790)</f>
        <v>1790</v>
      </c>
      <c r="D2189" s="75">
        <f ca="1">IFERROR(__xludf.DUMMYFUNCTION("""COMPUTED_VALUE"""),0)</f>
        <v>0</v>
      </c>
      <c r="E2189" s="76">
        <f ca="1">IFERROR(__xludf.DUMMYFUNCTION("""COMPUTED_VALUE"""),1790)</f>
        <v>1790</v>
      </c>
      <c r="F2189" s="77">
        <f ca="1">IFERROR(__xludf.DUMMYFUNCTION("""COMPUTED_VALUE"""),20140386)</f>
        <v>20140386</v>
      </c>
      <c r="G2189" s="77" t="str">
        <f t="shared" ca="1" si="8"/>
        <v>si</v>
      </c>
    </row>
    <row r="2190" spans="1:7" ht="12.75" x14ac:dyDescent="0.2">
      <c r="A2190" s="62">
        <f ca="1">IFERROR(__xludf.DUMMYFUNCTION("""COMPUTED_VALUE"""),20140387)</f>
        <v>20140387</v>
      </c>
      <c r="B2190" s="62" t="str">
        <f ca="1">IFERROR(__xludf.DUMMYFUNCTION("""COMPUTED_VALUE"""),"Aumento SSD Macbook A1990 1TB")</f>
        <v>Aumento SSD Macbook A1990 1TB</v>
      </c>
      <c r="C2190" s="75">
        <f ca="1">IFERROR(__xludf.DUMMYFUNCTION("""COMPUTED_VALUE"""),1390)</f>
        <v>1390</v>
      </c>
      <c r="D2190" s="75">
        <f ca="1">IFERROR(__xludf.DUMMYFUNCTION("""COMPUTED_VALUE"""),0)</f>
        <v>0</v>
      </c>
      <c r="E2190" s="76">
        <f ca="1">IFERROR(__xludf.DUMMYFUNCTION("""COMPUTED_VALUE"""),1390)</f>
        <v>1390</v>
      </c>
      <c r="F2190" s="77">
        <f ca="1">IFERROR(__xludf.DUMMYFUNCTION("""COMPUTED_VALUE"""),20140387)</f>
        <v>20140387</v>
      </c>
      <c r="G2190" s="77" t="str">
        <f t="shared" ca="1" si="8"/>
        <v>si</v>
      </c>
    </row>
    <row r="2191" spans="1:7" ht="12.75" x14ac:dyDescent="0.2">
      <c r="A2191" s="62">
        <f ca="1">IFERROR(__xludf.DUMMYFUNCTION("""COMPUTED_VALUE"""),20140388)</f>
        <v>20140388</v>
      </c>
      <c r="B2191" s="62" t="str">
        <f ca="1">IFERROR(__xludf.DUMMYFUNCTION("""COMPUTED_VALUE"""),"Aumento SSD Macbook A2159 1TB")</f>
        <v>Aumento SSD Macbook A2159 1TB</v>
      </c>
      <c r="C2191" s="75">
        <f ca="1">IFERROR(__xludf.DUMMYFUNCTION("""COMPUTED_VALUE"""),1390)</f>
        <v>1390</v>
      </c>
      <c r="D2191" s="75">
        <f ca="1">IFERROR(__xludf.DUMMYFUNCTION("""COMPUTED_VALUE"""),0)</f>
        <v>0</v>
      </c>
      <c r="E2191" s="76">
        <f ca="1">IFERROR(__xludf.DUMMYFUNCTION("""COMPUTED_VALUE"""),1390)</f>
        <v>1390</v>
      </c>
      <c r="F2191" s="77">
        <f ca="1">IFERROR(__xludf.DUMMYFUNCTION("""COMPUTED_VALUE"""),20140388)</f>
        <v>20140388</v>
      </c>
      <c r="G2191" s="77" t="str">
        <f t="shared" ca="1" si="8"/>
        <v>si</v>
      </c>
    </row>
    <row r="2192" spans="1:7" ht="12.75" x14ac:dyDescent="0.2">
      <c r="A2192" s="62">
        <f ca="1">IFERROR(__xludf.DUMMYFUNCTION("""COMPUTED_VALUE"""),20140389)</f>
        <v>20140389</v>
      </c>
      <c r="B2192" s="62" t="str">
        <f ca="1">IFERROR(__xludf.DUMMYFUNCTION("""COMPUTED_VALUE"""),"Aumento SSD Macbook A2179 1TB")</f>
        <v>Aumento SSD Macbook A2179 1TB</v>
      </c>
      <c r="C2192" s="75">
        <f ca="1">IFERROR(__xludf.DUMMYFUNCTION("""COMPUTED_VALUE"""),1390)</f>
        <v>1390</v>
      </c>
      <c r="D2192" s="75">
        <f ca="1">IFERROR(__xludf.DUMMYFUNCTION("""COMPUTED_VALUE"""),0)</f>
        <v>0</v>
      </c>
      <c r="E2192" s="76">
        <f ca="1">IFERROR(__xludf.DUMMYFUNCTION("""COMPUTED_VALUE"""),1390)</f>
        <v>1390</v>
      </c>
      <c r="F2192" s="77">
        <f ca="1">IFERROR(__xludf.DUMMYFUNCTION("""COMPUTED_VALUE"""),20140389)</f>
        <v>20140389</v>
      </c>
      <c r="G2192" s="77" t="str">
        <f t="shared" ca="1" si="8"/>
        <v>si</v>
      </c>
    </row>
    <row r="2193" spans="1:7" ht="12.75" x14ac:dyDescent="0.2">
      <c r="A2193" s="62">
        <f ca="1">IFERROR(__xludf.DUMMYFUNCTION("""COMPUTED_VALUE"""),20140390)</f>
        <v>20140390</v>
      </c>
      <c r="B2193" s="62" t="str">
        <f ca="1">IFERROR(__xludf.DUMMYFUNCTION("""COMPUTED_VALUE"""),"Aumento SSD Macbook A2289 1TB")</f>
        <v>Aumento SSD Macbook A2289 1TB</v>
      </c>
      <c r="C2193" s="75">
        <f ca="1">IFERROR(__xludf.DUMMYFUNCTION("""COMPUTED_VALUE"""),1390)</f>
        <v>1390</v>
      </c>
      <c r="D2193" s="75">
        <f ca="1">IFERROR(__xludf.DUMMYFUNCTION("""COMPUTED_VALUE"""),0)</f>
        <v>0</v>
      </c>
      <c r="E2193" s="76">
        <f ca="1">IFERROR(__xludf.DUMMYFUNCTION("""COMPUTED_VALUE"""),1390)</f>
        <v>1390</v>
      </c>
      <c r="F2193" s="77">
        <f ca="1">IFERROR(__xludf.DUMMYFUNCTION("""COMPUTED_VALUE"""),20140390)</f>
        <v>20140390</v>
      </c>
      <c r="G2193" s="77" t="str">
        <f t="shared" ca="1" si="8"/>
        <v>si</v>
      </c>
    </row>
    <row r="2194" spans="1:7" ht="12.75" x14ac:dyDescent="0.2">
      <c r="A2194" s="62">
        <f ca="1">IFERROR(__xludf.DUMMYFUNCTION("""COMPUTED_VALUE"""),20140391)</f>
        <v>20140391</v>
      </c>
      <c r="B2194" s="62" t="str">
        <f ca="1">IFERROR(__xludf.DUMMYFUNCTION("""COMPUTED_VALUE"""),"Aumento SSD Macbook A2337 500gb")</f>
        <v>Aumento SSD Macbook A2337 500gb</v>
      </c>
      <c r="C2194" s="75">
        <f ca="1">IFERROR(__xludf.DUMMYFUNCTION("""COMPUTED_VALUE"""),990)</f>
        <v>990</v>
      </c>
      <c r="D2194" s="75">
        <f ca="1">IFERROR(__xludf.DUMMYFUNCTION("""COMPUTED_VALUE"""),0)</f>
        <v>0</v>
      </c>
      <c r="E2194" s="76">
        <f ca="1">IFERROR(__xludf.DUMMYFUNCTION("""COMPUTED_VALUE"""),990)</f>
        <v>990</v>
      </c>
      <c r="F2194" s="77">
        <f ca="1">IFERROR(__xludf.DUMMYFUNCTION("""COMPUTED_VALUE"""),20140391)</f>
        <v>20140391</v>
      </c>
      <c r="G2194" s="77" t="str">
        <f t="shared" ca="1" si="8"/>
        <v>si</v>
      </c>
    </row>
    <row r="2195" spans="1:7" ht="12.75" x14ac:dyDescent="0.2">
      <c r="A2195" s="62">
        <f ca="1">IFERROR(__xludf.DUMMYFUNCTION("""COMPUTED_VALUE"""),20140392)</f>
        <v>20140392</v>
      </c>
      <c r="B2195" s="62" t="str">
        <f ca="1">IFERROR(__xludf.DUMMYFUNCTION("""COMPUTED_VALUE"""),"Aumento SSD Macbook A2337 1TB")</f>
        <v>Aumento SSD Macbook A2337 1TB</v>
      </c>
      <c r="C2195" s="75">
        <f ca="1">IFERROR(__xludf.DUMMYFUNCTION("""COMPUTED_VALUE"""),1590)</f>
        <v>1590</v>
      </c>
      <c r="D2195" s="75">
        <f ca="1">IFERROR(__xludf.DUMMYFUNCTION("""COMPUTED_VALUE"""),0)</f>
        <v>0</v>
      </c>
      <c r="E2195" s="76">
        <f ca="1">IFERROR(__xludf.DUMMYFUNCTION("""COMPUTED_VALUE"""),1590)</f>
        <v>1590</v>
      </c>
      <c r="F2195" s="77">
        <f ca="1">IFERROR(__xludf.DUMMYFUNCTION("""COMPUTED_VALUE"""),20140392)</f>
        <v>20140392</v>
      </c>
      <c r="G2195" s="77" t="str">
        <f t="shared" ca="1" si="8"/>
        <v>si</v>
      </c>
    </row>
    <row r="2196" spans="1:7" ht="12.75" x14ac:dyDescent="0.2">
      <c r="A2196" s="62">
        <f ca="1">IFERROR(__xludf.DUMMYFUNCTION("""COMPUTED_VALUE"""),20140393)</f>
        <v>20140393</v>
      </c>
      <c r="B2196" s="62" t="str">
        <f ca="1">IFERROR(__xludf.DUMMYFUNCTION("""COMPUTED_VALUE"""),"Aumento SSD Macbook A2338 500gb")</f>
        <v>Aumento SSD Macbook A2338 500gb</v>
      </c>
      <c r="C2196" s="75">
        <f ca="1">IFERROR(__xludf.DUMMYFUNCTION("""COMPUTED_VALUE"""),1090)</f>
        <v>1090</v>
      </c>
      <c r="D2196" s="75">
        <f ca="1">IFERROR(__xludf.DUMMYFUNCTION("""COMPUTED_VALUE"""),0)</f>
        <v>0</v>
      </c>
      <c r="E2196" s="76">
        <f ca="1">IFERROR(__xludf.DUMMYFUNCTION("""COMPUTED_VALUE"""),1090)</f>
        <v>1090</v>
      </c>
      <c r="F2196" s="77">
        <f ca="1">IFERROR(__xludf.DUMMYFUNCTION("""COMPUTED_VALUE"""),20140393)</f>
        <v>20140393</v>
      </c>
      <c r="G2196" s="77" t="str">
        <f t="shared" ca="1" si="8"/>
        <v>si</v>
      </c>
    </row>
    <row r="2197" spans="1:7" ht="12.75" x14ac:dyDescent="0.2">
      <c r="A2197" s="62">
        <f ca="1">IFERROR(__xludf.DUMMYFUNCTION("""COMPUTED_VALUE"""),20140394)</f>
        <v>20140394</v>
      </c>
      <c r="B2197" s="62" t="str">
        <f ca="1">IFERROR(__xludf.DUMMYFUNCTION("""COMPUTED_VALUE"""),"Aumento SSD Macbook A2338 1TB")</f>
        <v>Aumento SSD Macbook A2338 1TB</v>
      </c>
      <c r="C2197" s="75">
        <f ca="1">IFERROR(__xludf.DUMMYFUNCTION("""COMPUTED_VALUE"""),1690)</f>
        <v>1690</v>
      </c>
      <c r="D2197" s="75">
        <f ca="1">IFERROR(__xludf.DUMMYFUNCTION("""COMPUTED_VALUE"""),0)</f>
        <v>0</v>
      </c>
      <c r="E2197" s="76">
        <f ca="1">IFERROR(__xludf.DUMMYFUNCTION("""COMPUTED_VALUE"""),1690)</f>
        <v>1690</v>
      </c>
      <c r="F2197" s="77">
        <f ca="1">IFERROR(__xludf.DUMMYFUNCTION("""COMPUTED_VALUE"""),20140394)</f>
        <v>20140394</v>
      </c>
      <c r="G2197" s="77" t="str">
        <f t="shared" ca="1" si="8"/>
        <v>si</v>
      </c>
    </row>
    <row r="2198" spans="1:7" ht="12.75" x14ac:dyDescent="0.2">
      <c r="A2198" s="62">
        <f ca="1">IFERROR(__xludf.DUMMYFUNCTION("""COMPUTED_VALUE"""),20140395)</f>
        <v>20140395</v>
      </c>
      <c r="B2198" s="62" t="str">
        <f ca="1">IFERROR(__xludf.DUMMYFUNCTION("""COMPUTED_VALUE"""),"Aumento SSD Macbook A2141 1TB")</f>
        <v>Aumento SSD Macbook A2141 1TB</v>
      </c>
      <c r="C2198" s="75">
        <f ca="1">IFERROR(__xludf.DUMMYFUNCTION("""COMPUTED_VALUE"""),1390)</f>
        <v>1390</v>
      </c>
      <c r="D2198" s="75">
        <f ca="1">IFERROR(__xludf.DUMMYFUNCTION("""COMPUTED_VALUE"""),0)</f>
        <v>0</v>
      </c>
      <c r="E2198" s="76">
        <f ca="1">IFERROR(__xludf.DUMMYFUNCTION("""COMPUTED_VALUE"""),1390)</f>
        <v>1390</v>
      </c>
      <c r="F2198" s="77">
        <f ca="1">IFERROR(__xludf.DUMMYFUNCTION("""COMPUTED_VALUE"""),20140395)</f>
        <v>20140395</v>
      </c>
      <c r="G2198" s="77" t="str">
        <f t="shared" ca="1" si="8"/>
        <v>si</v>
      </c>
    </row>
    <row r="2199" spans="1:7" ht="12.75" x14ac:dyDescent="0.2">
      <c r="A2199" s="62">
        <f ca="1">IFERROR(__xludf.DUMMYFUNCTION("""COMPUTED_VALUE"""),20140396)</f>
        <v>20140396</v>
      </c>
      <c r="B2199" s="62" t="str">
        <f ca="1">IFERROR(__xludf.DUMMYFUNCTION("""COMPUTED_VALUE"""),"Aumento SSD Macbook A2141 2TB")</f>
        <v>Aumento SSD Macbook A2141 2TB</v>
      </c>
      <c r="C2199" s="75">
        <f ca="1">IFERROR(__xludf.DUMMYFUNCTION("""COMPUTED_VALUE"""),1890)</f>
        <v>1890</v>
      </c>
      <c r="D2199" s="75">
        <f ca="1">IFERROR(__xludf.DUMMYFUNCTION("""COMPUTED_VALUE"""),0)</f>
        <v>0</v>
      </c>
      <c r="E2199" s="76">
        <f ca="1">IFERROR(__xludf.DUMMYFUNCTION("""COMPUTED_VALUE"""),1890)</f>
        <v>1890</v>
      </c>
      <c r="F2199" s="77">
        <f ca="1">IFERROR(__xludf.DUMMYFUNCTION("""COMPUTED_VALUE"""),20140396)</f>
        <v>20140396</v>
      </c>
      <c r="G2199" s="77" t="str">
        <f t="shared" ca="1" si="8"/>
        <v>si</v>
      </c>
    </row>
    <row r="2200" spans="1:7" ht="12.75" x14ac:dyDescent="0.2">
      <c r="A2200" s="62">
        <f ca="1">IFERROR(__xludf.DUMMYFUNCTION("""COMPUTED_VALUE"""),20140397)</f>
        <v>20140397</v>
      </c>
      <c r="B2200" s="62" t="str">
        <f ca="1">IFERROR(__xludf.DUMMYFUNCTION("""COMPUTED_VALUE"""),"Aumento SSD Macbook A2251 500gb")</f>
        <v>Aumento SSD Macbook A2251 500gb</v>
      </c>
      <c r="C2200" s="75">
        <f ca="1">IFERROR(__xludf.DUMMYFUNCTION("""COMPUTED_VALUE"""),1190)</f>
        <v>1190</v>
      </c>
      <c r="D2200" s="75">
        <f ca="1">IFERROR(__xludf.DUMMYFUNCTION("""COMPUTED_VALUE"""),0)</f>
        <v>0</v>
      </c>
      <c r="E2200" s="76">
        <f ca="1">IFERROR(__xludf.DUMMYFUNCTION("""COMPUTED_VALUE"""),1190)</f>
        <v>1190</v>
      </c>
      <c r="F2200" s="77">
        <f ca="1">IFERROR(__xludf.DUMMYFUNCTION("""COMPUTED_VALUE"""),20140397)</f>
        <v>20140397</v>
      </c>
      <c r="G2200" s="77" t="str">
        <f t="shared" ca="1" si="8"/>
        <v>si</v>
      </c>
    </row>
    <row r="2201" spans="1:7" ht="12.75" x14ac:dyDescent="0.2">
      <c r="A2201" s="62">
        <f ca="1">IFERROR(__xludf.DUMMYFUNCTION("""COMPUTED_VALUE"""),20140403)</f>
        <v>20140403</v>
      </c>
      <c r="B2201" s="62" t="str">
        <f ca="1">IFERROR(__xludf.DUMMYFUNCTION("""COMPUTED_VALUE"""),"Aumento SSD Macbook A1989 500gb")</f>
        <v>Aumento SSD Macbook A1989 500gb</v>
      </c>
      <c r="C2201" s="75">
        <f ca="1">IFERROR(__xludf.DUMMYFUNCTION("""COMPUTED_VALUE"""),990)</f>
        <v>990</v>
      </c>
      <c r="D2201" s="75">
        <f ca="1">IFERROR(__xludf.DUMMYFUNCTION("""COMPUTED_VALUE"""),0)</f>
        <v>0</v>
      </c>
      <c r="E2201" s="76">
        <f ca="1">IFERROR(__xludf.DUMMYFUNCTION("""COMPUTED_VALUE"""),990)</f>
        <v>990</v>
      </c>
      <c r="F2201" s="77">
        <f ca="1">IFERROR(__xludf.DUMMYFUNCTION("""COMPUTED_VALUE"""),20140403)</f>
        <v>20140403</v>
      </c>
      <c r="G2201" s="77" t="str">
        <f t="shared" ca="1" si="8"/>
        <v>si</v>
      </c>
    </row>
    <row r="2202" spans="1:7" ht="12.75" x14ac:dyDescent="0.2">
      <c r="A2202" s="62">
        <f ca="1">IFERROR(__xludf.DUMMYFUNCTION("""COMPUTED_VALUE"""),20140404)</f>
        <v>20140404</v>
      </c>
      <c r="B2202" s="62" t="str">
        <f ca="1">IFERROR(__xludf.DUMMYFUNCTION("""COMPUTED_VALUE"""),"Aumento SSD Macbook A1990 500gb")</f>
        <v>Aumento SSD Macbook A1990 500gb</v>
      </c>
      <c r="C2202" s="75">
        <f ca="1">IFERROR(__xludf.DUMMYFUNCTION("""COMPUTED_VALUE"""),990)</f>
        <v>990</v>
      </c>
      <c r="D2202" s="75">
        <f ca="1">IFERROR(__xludf.DUMMYFUNCTION("""COMPUTED_VALUE"""),0)</f>
        <v>0</v>
      </c>
      <c r="E2202" s="76">
        <f ca="1">IFERROR(__xludf.DUMMYFUNCTION("""COMPUTED_VALUE"""),990)</f>
        <v>990</v>
      </c>
      <c r="F2202" s="77">
        <f ca="1">IFERROR(__xludf.DUMMYFUNCTION("""COMPUTED_VALUE"""),20140404)</f>
        <v>20140404</v>
      </c>
      <c r="G2202" s="77" t="str">
        <f t="shared" ca="1" si="8"/>
        <v>si</v>
      </c>
    </row>
    <row r="2203" spans="1:7" ht="12.75" x14ac:dyDescent="0.2">
      <c r="A2203" s="62">
        <f ca="1">IFERROR(__xludf.DUMMYFUNCTION("""COMPUTED_VALUE"""),20140407)</f>
        <v>20140407</v>
      </c>
      <c r="B2203" s="62" t="str">
        <f ca="1">IFERROR(__xludf.DUMMYFUNCTION("""COMPUTED_VALUE"""),"Aumento SSD Macbook A1251 500gb")</f>
        <v>Aumento SSD Macbook A1251 500gb</v>
      </c>
      <c r="C2203" s="75">
        <f ca="1">IFERROR(__xludf.DUMMYFUNCTION("""COMPUTED_VALUE"""),990)</f>
        <v>990</v>
      </c>
      <c r="D2203" s="75">
        <f ca="1">IFERROR(__xludf.DUMMYFUNCTION("""COMPUTED_VALUE"""),0)</f>
        <v>0</v>
      </c>
      <c r="E2203" s="76">
        <f ca="1">IFERROR(__xludf.DUMMYFUNCTION("""COMPUTED_VALUE"""),990)</f>
        <v>990</v>
      </c>
      <c r="F2203" s="77">
        <f ca="1">IFERROR(__xludf.DUMMYFUNCTION("""COMPUTED_VALUE"""),20140407)</f>
        <v>20140407</v>
      </c>
      <c r="G2203" s="77" t="str">
        <f t="shared" ca="1" si="8"/>
        <v>si</v>
      </c>
    </row>
    <row r="2204" spans="1:7" ht="12.75" x14ac:dyDescent="0.2">
      <c r="A2204" s="62">
        <f ca="1">IFERROR(__xludf.DUMMYFUNCTION("""COMPUTED_VALUE"""),20140399)</f>
        <v>20140399</v>
      </c>
      <c r="B2204" s="62" t="str">
        <f ca="1">IFERROR(__xludf.DUMMYFUNCTION("""COMPUTED_VALUE"""),"Aumento SSD Macbook A2179 500gb")</f>
        <v>Aumento SSD Macbook A2179 500gb</v>
      </c>
      <c r="C2204" s="75">
        <f ca="1">IFERROR(__xludf.DUMMYFUNCTION("""COMPUTED_VALUE"""),990)</f>
        <v>990</v>
      </c>
      <c r="D2204" s="75">
        <f ca="1">IFERROR(__xludf.DUMMYFUNCTION("""COMPUTED_VALUE"""),0)</f>
        <v>0</v>
      </c>
      <c r="E2204" s="76">
        <f ca="1">IFERROR(__xludf.DUMMYFUNCTION("""COMPUTED_VALUE"""),990)</f>
        <v>990</v>
      </c>
      <c r="F2204" s="77">
        <f ca="1">IFERROR(__xludf.DUMMYFUNCTION("""COMPUTED_VALUE"""),20140399)</f>
        <v>20140399</v>
      </c>
      <c r="G2204" s="77" t="str">
        <f t="shared" ca="1" si="8"/>
        <v>si</v>
      </c>
    </row>
    <row r="2205" spans="1:7" ht="12.75" x14ac:dyDescent="0.2">
      <c r="A2205" s="62">
        <f ca="1">IFERROR(__xludf.DUMMYFUNCTION("""COMPUTED_VALUE"""),20140400)</f>
        <v>20140400</v>
      </c>
      <c r="B2205" s="62" t="str">
        <f ca="1">IFERROR(__xludf.DUMMYFUNCTION("""COMPUTED_VALUE"""),"Aumento SSD Macbook A2289 500gb")</f>
        <v>Aumento SSD Macbook A2289 500gb</v>
      </c>
      <c r="C2205" s="75">
        <f ca="1">IFERROR(__xludf.DUMMYFUNCTION("""COMPUTED_VALUE"""),990)</f>
        <v>990</v>
      </c>
      <c r="D2205" s="75">
        <f ca="1">IFERROR(__xludf.DUMMYFUNCTION("""COMPUTED_VALUE"""),0)</f>
        <v>0</v>
      </c>
      <c r="E2205" s="76">
        <f ca="1">IFERROR(__xludf.DUMMYFUNCTION("""COMPUTED_VALUE"""),990)</f>
        <v>990</v>
      </c>
      <c r="F2205" s="77">
        <f ca="1">IFERROR(__xludf.DUMMYFUNCTION("""COMPUTED_VALUE"""),20140400)</f>
        <v>20140400</v>
      </c>
      <c r="G2205" s="77" t="str">
        <f t="shared" ca="1" si="8"/>
        <v>si</v>
      </c>
    </row>
    <row r="2206" spans="1:7" ht="12.75" x14ac:dyDescent="0.2">
      <c r="A2206" s="62">
        <f ca="1">IFERROR(__xludf.DUMMYFUNCTION("""COMPUTED_VALUE"""),20140405)</f>
        <v>20140405</v>
      </c>
      <c r="B2206" s="62" t="str">
        <f ca="1">IFERROR(__xludf.DUMMYFUNCTION("""COMPUTED_VALUE"""),"Aumento SSD Macbook A2141 500gb")</f>
        <v>Aumento SSD Macbook A2141 500gb</v>
      </c>
      <c r="C2206" s="75">
        <f ca="1">IFERROR(__xludf.DUMMYFUNCTION("""COMPUTED_VALUE"""),1090)</f>
        <v>1090</v>
      </c>
      <c r="D2206" s="75">
        <f ca="1">IFERROR(__xludf.DUMMYFUNCTION("""COMPUTED_VALUE"""),0)</f>
        <v>0</v>
      </c>
      <c r="E2206" s="76">
        <f ca="1">IFERROR(__xludf.DUMMYFUNCTION("""COMPUTED_VALUE"""),1090)</f>
        <v>1090</v>
      </c>
      <c r="F2206" s="77">
        <f ca="1">IFERROR(__xludf.DUMMYFUNCTION("""COMPUTED_VALUE"""),20140405)</f>
        <v>20140405</v>
      </c>
      <c r="G2206" s="77" t="str">
        <f t="shared" ca="1" si="8"/>
        <v>si</v>
      </c>
    </row>
    <row r="2207" spans="1:7" ht="12.75" x14ac:dyDescent="0.2">
      <c r="A2207" s="62">
        <f ca="1">IFERROR(__xludf.DUMMYFUNCTION("""COMPUTED_VALUE"""),20140406)</f>
        <v>20140406</v>
      </c>
      <c r="B2207" s="62" t="str">
        <f ca="1">IFERROR(__xludf.DUMMYFUNCTION("""COMPUTED_VALUE"""),"Aumento SSD Macbook A2141 4TB")</f>
        <v>Aumento SSD Macbook A2141 4TB</v>
      </c>
      <c r="C2207" s="75">
        <f ca="1">IFERROR(__xludf.DUMMYFUNCTION("""COMPUTED_VALUE"""),2890)</f>
        <v>2890</v>
      </c>
      <c r="D2207" s="75">
        <f ca="1">IFERROR(__xludf.DUMMYFUNCTION("""COMPUTED_VALUE"""),0)</f>
        <v>0</v>
      </c>
      <c r="E2207" s="76">
        <f ca="1">IFERROR(__xludf.DUMMYFUNCTION("""COMPUTED_VALUE"""),2890)</f>
        <v>2890</v>
      </c>
      <c r="F2207" s="77">
        <f ca="1">IFERROR(__xludf.DUMMYFUNCTION("""COMPUTED_VALUE"""),20140406)</f>
        <v>20140406</v>
      </c>
      <c r="G2207" s="77" t="str">
        <f t="shared" ca="1" si="8"/>
        <v>si</v>
      </c>
    </row>
    <row r="2208" spans="1:7" ht="12.75" x14ac:dyDescent="0.2">
      <c r="A2208" s="62">
        <f ca="1">IFERROR(__xludf.DUMMYFUNCTION("""COMPUTED_VALUE"""),10160327)</f>
        <v>10160327</v>
      </c>
      <c r="B2208" s="62" t="str">
        <f ca="1">IFERROR(__xludf.DUMMYFUNCTION("""COMPUTED_VALUE"""),"FPC SAMSUNG S20")</f>
        <v>FPC SAMSUNG S20</v>
      </c>
      <c r="C2208" s="75">
        <f ca="1">IFERROR(__xludf.DUMMYFUNCTION("""COMPUTED_VALUE"""),30)</f>
        <v>30</v>
      </c>
      <c r="D2208" s="75">
        <f ca="1">IFERROR(__xludf.DUMMYFUNCTION("""COMPUTED_VALUE"""),250)</f>
        <v>250</v>
      </c>
      <c r="E2208" s="76">
        <f ca="1">IFERROR(__xludf.DUMMYFUNCTION("""COMPUTED_VALUE"""),280)</f>
        <v>280</v>
      </c>
      <c r="F2208" s="77">
        <f ca="1">IFERROR(__xludf.DUMMYFUNCTION("""COMPUTED_VALUE"""),10160327)</f>
        <v>10160327</v>
      </c>
      <c r="G2208" s="77" t="str">
        <f t="shared" ca="1" si="8"/>
        <v>si</v>
      </c>
    </row>
    <row r="2209" spans="1:7" ht="12.75" x14ac:dyDescent="0.2">
      <c r="A2209" s="62">
        <f ca="1">IFERROR(__xludf.DUMMYFUNCTION("""COMPUTED_VALUE"""),10160328)</f>
        <v>10160328</v>
      </c>
      <c r="B2209" s="62" t="str">
        <f ca="1">IFERROR(__xludf.DUMMYFUNCTION("""COMPUTED_VALUE"""),"FPC SAMSUNG S20 ULTRA")</f>
        <v>FPC SAMSUNG S20 ULTRA</v>
      </c>
      <c r="C2209" s="75">
        <f ca="1">IFERROR(__xludf.DUMMYFUNCTION("""COMPUTED_VALUE"""),10)</f>
        <v>10</v>
      </c>
      <c r="D2209" s="75">
        <f ca="1">IFERROR(__xludf.DUMMYFUNCTION("""COMPUTED_VALUE"""),250)</f>
        <v>250</v>
      </c>
      <c r="E2209" s="76">
        <f ca="1">IFERROR(__xludf.DUMMYFUNCTION("""COMPUTED_VALUE"""),260)</f>
        <v>260</v>
      </c>
      <c r="F2209" s="77">
        <f ca="1">IFERROR(__xludf.DUMMYFUNCTION("""COMPUTED_VALUE"""),10160328)</f>
        <v>10160328</v>
      </c>
      <c r="G2209" s="77" t="str">
        <f t="shared" ca="1" si="8"/>
        <v>si</v>
      </c>
    </row>
    <row r="2210" spans="1:7" ht="12.75" x14ac:dyDescent="0.2">
      <c r="A2210" s="62">
        <f ca="1">IFERROR(__xludf.DUMMYFUNCTION("""COMPUTED_VALUE"""),10160322)</f>
        <v>10160322</v>
      </c>
      <c r="B2210" s="62" t="str">
        <f ca="1">IFERROR(__xludf.DUMMYFUNCTION("""COMPUTED_VALUE"""),"FPC SAMSUNG S21 ULTRA")</f>
        <v>FPC SAMSUNG S21 ULTRA</v>
      </c>
      <c r="C2210" s="75">
        <f ca="1">IFERROR(__xludf.DUMMYFUNCTION("""COMPUTED_VALUE"""),10)</f>
        <v>10</v>
      </c>
      <c r="D2210" s="75">
        <f ca="1">IFERROR(__xludf.DUMMYFUNCTION("""COMPUTED_VALUE"""),250)</f>
        <v>250</v>
      </c>
      <c r="E2210" s="76">
        <f ca="1">IFERROR(__xludf.DUMMYFUNCTION("""COMPUTED_VALUE"""),260)</f>
        <v>260</v>
      </c>
      <c r="F2210" s="77">
        <f ca="1">IFERROR(__xludf.DUMMYFUNCTION("""COMPUTED_VALUE"""),10160322)</f>
        <v>10160322</v>
      </c>
      <c r="G2210" s="77" t="str">
        <f t="shared" ca="1" si="8"/>
        <v>si</v>
      </c>
    </row>
    <row r="2211" spans="1:7" ht="12.75" x14ac:dyDescent="0.2">
      <c r="A2211" s="62">
        <f ca="1">IFERROR(__xludf.DUMMYFUNCTION("""COMPUTED_VALUE"""),10080300)</f>
        <v>10080300</v>
      </c>
      <c r="B2211" s="62" t="str">
        <f ca="1">IFERROR(__xludf.DUMMYFUNCTION("""COMPUTED_VALUE"""),"Delivery")</f>
        <v>Delivery</v>
      </c>
      <c r="C2211" s="62"/>
      <c r="D2211" s="62"/>
      <c r="E2211" s="76">
        <f ca="1">IFERROR(__xludf.DUMMYFUNCTION("""COMPUTED_VALUE"""),0)</f>
        <v>0</v>
      </c>
      <c r="F2211" s="77">
        <f ca="1">IFERROR(__xludf.DUMMYFUNCTION("""COMPUTED_VALUE"""),10080300)</f>
        <v>10080300</v>
      </c>
      <c r="G2211" s="77" t="str">
        <f t="shared" ca="1" si="8"/>
        <v>si</v>
      </c>
    </row>
    <row r="2212" spans="1:7" ht="12.75" x14ac:dyDescent="0.2">
      <c r="A2212" s="62">
        <f ca="1">IFERROR(__xludf.DUMMYFUNCTION("""COMPUTED_VALUE"""),10160330)</f>
        <v>10160330</v>
      </c>
      <c r="B2212" s="62" t="str">
        <f ca="1">IFERROR(__xludf.DUMMYFUNCTION("""COMPUTED_VALUE"""),"Puerto de carga Samsung A72 4g")</f>
        <v>Puerto de carga Samsung A72 4g</v>
      </c>
      <c r="C2212" s="75">
        <f ca="1">IFERROR(__xludf.DUMMYFUNCTION("""COMPUTED_VALUE"""),100)</f>
        <v>100</v>
      </c>
      <c r="D2212" s="75">
        <f ca="1">IFERROR(__xludf.DUMMYFUNCTION("""COMPUTED_VALUE"""),50)</f>
        <v>50</v>
      </c>
      <c r="E2212" s="76">
        <f ca="1">IFERROR(__xludf.DUMMYFUNCTION("""COMPUTED_VALUE"""),150)</f>
        <v>150</v>
      </c>
      <c r="F2212" s="77">
        <f ca="1">IFERROR(__xludf.DUMMYFUNCTION("""COMPUTED_VALUE"""),10160330)</f>
        <v>10160330</v>
      </c>
      <c r="G2212" s="77" t="str">
        <f t="shared" ca="1" si="8"/>
        <v>si</v>
      </c>
    </row>
    <row r="2213" spans="1:7" ht="12.75" x14ac:dyDescent="0.2">
      <c r="A2213" s="62">
        <f ca="1">IFERROR(__xludf.DUMMYFUNCTION("""COMPUTED_VALUE"""),10160331)</f>
        <v>10160331</v>
      </c>
      <c r="B2213" s="62" t="str">
        <f ca="1">IFERROR(__xludf.DUMMYFUNCTION("""COMPUTED_VALUE"""),"Camara Glass Lens Iphone 13 Mini")</f>
        <v>Camara Glass Lens Iphone 13 Mini</v>
      </c>
      <c r="C2213" s="75">
        <f ca="1">IFERROR(__xludf.DUMMYFUNCTION("""COMPUTED_VALUE"""),55)</f>
        <v>55</v>
      </c>
      <c r="D2213" s="75">
        <f ca="1">IFERROR(__xludf.DUMMYFUNCTION("""COMPUTED_VALUE"""),100)</f>
        <v>100</v>
      </c>
      <c r="E2213" s="76">
        <f ca="1">IFERROR(__xludf.DUMMYFUNCTION("""COMPUTED_VALUE"""),155)</f>
        <v>155</v>
      </c>
      <c r="F2213" s="77">
        <f ca="1">IFERROR(__xludf.DUMMYFUNCTION("""COMPUTED_VALUE"""),10160331)</f>
        <v>10160331</v>
      </c>
      <c r="G2213" s="77" t="str">
        <f t="shared" ca="1" si="8"/>
        <v>si</v>
      </c>
    </row>
    <row r="2214" spans="1:7" ht="12.75" x14ac:dyDescent="0.2">
      <c r="A2214" s="62">
        <f ca="1">IFERROR(__xludf.DUMMYFUNCTION("""COMPUTED_VALUE"""),10160324)</f>
        <v>10160324</v>
      </c>
      <c r="B2214" s="62" t="str">
        <f ca="1">IFERROR(__xludf.DUMMYFUNCTION("""COMPUTED_VALUE"""),"Camara frontal Xiaomi Redmi Note 6 - Note 6 Pro")</f>
        <v>Camara frontal Xiaomi Redmi Note 6 - Note 6 Pro</v>
      </c>
      <c r="C2214" s="75">
        <f ca="1">IFERROR(__xludf.DUMMYFUNCTION("""COMPUTED_VALUE"""),50)</f>
        <v>50</v>
      </c>
      <c r="D2214" s="75">
        <f ca="1">IFERROR(__xludf.DUMMYFUNCTION("""COMPUTED_VALUE"""),50)</f>
        <v>50</v>
      </c>
      <c r="E2214" s="76">
        <f ca="1">IFERROR(__xludf.DUMMYFUNCTION("""COMPUTED_VALUE"""),100)</f>
        <v>100</v>
      </c>
      <c r="F2214" s="77">
        <f ca="1">IFERROR(__xludf.DUMMYFUNCTION("""COMPUTED_VALUE"""),10160324)</f>
        <v>10160324</v>
      </c>
      <c r="G2214" s="77" t="str">
        <f t="shared" ca="1" si="8"/>
        <v>si</v>
      </c>
    </row>
    <row r="2215" spans="1:7" ht="12.75" x14ac:dyDescent="0.2">
      <c r="A2215" s="62">
        <f ca="1">IFERROR(__xludf.DUMMYFUNCTION("""COMPUTED_VALUE"""),10160169)</f>
        <v>10160169</v>
      </c>
      <c r="B2215" s="62" t="str">
        <f ca="1">IFERROR(__xludf.DUMMYFUNCTION("""COMPUTED_VALUE"""),"Tapa Trasera Xiaomi Redmi Note 10")</f>
        <v>Tapa Trasera Xiaomi Redmi Note 10</v>
      </c>
      <c r="C2215" s="75">
        <f ca="1">IFERROR(__xludf.DUMMYFUNCTION("""COMPUTED_VALUE"""),80)</f>
        <v>80</v>
      </c>
      <c r="D2215" s="75">
        <f ca="1">IFERROR(__xludf.DUMMYFUNCTION("""COMPUTED_VALUE"""),50)</f>
        <v>50</v>
      </c>
      <c r="E2215" s="76">
        <f ca="1">IFERROR(__xludf.DUMMYFUNCTION("""COMPUTED_VALUE"""),130)</f>
        <v>130</v>
      </c>
      <c r="F2215" s="77">
        <f ca="1">IFERROR(__xludf.DUMMYFUNCTION("""COMPUTED_VALUE"""),10160169)</f>
        <v>10160169</v>
      </c>
      <c r="G2215" s="77" t="str">
        <f t="shared" ca="1" si="8"/>
        <v>si</v>
      </c>
    </row>
    <row r="2216" spans="1:7" ht="12.75" x14ac:dyDescent="0.2">
      <c r="A2216" s="62">
        <f ca="1">IFERROR(__xludf.DUMMYFUNCTION("""COMPUTED_VALUE"""),20140402)</f>
        <v>20140402</v>
      </c>
      <c r="B2216" s="62" t="str">
        <f ca="1">IFERROR(__xludf.DUMMYFUNCTION("""COMPUTED_VALUE"""),"TRACKPAD MAcbook A1398 (2013/2014)")</f>
        <v>TRACKPAD MAcbook A1398 (2013/2014)</v>
      </c>
      <c r="C2216" s="75">
        <f ca="1">IFERROR(__xludf.DUMMYFUNCTION("""COMPUTED_VALUE"""),220)</f>
        <v>220</v>
      </c>
      <c r="D2216" s="75">
        <f ca="1">IFERROR(__xludf.DUMMYFUNCTION("""COMPUTED_VALUE"""),50)</f>
        <v>50</v>
      </c>
      <c r="E2216" s="76">
        <f ca="1">IFERROR(__xludf.DUMMYFUNCTION("""COMPUTED_VALUE"""),270)</f>
        <v>270</v>
      </c>
      <c r="F2216" s="77">
        <f ca="1">IFERROR(__xludf.DUMMYFUNCTION("""COMPUTED_VALUE"""),20140402)</f>
        <v>20140402</v>
      </c>
      <c r="G2216" s="77" t="str">
        <f t="shared" ca="1" si="8"/>
        <v>si</v>
      </c>
    </row>
    <row r="2217" spans="1:7" ht="12.75" x14ac:dyDescent="0.2">
      <c r="A2217" s="62">
        <f ca="1">IFERROR(__xludf.DUMMYFUNCTION("""COMPUTED_VALUE"""),10010510)</f>
        <v>10010510</v>
      </c>
      <c r="B2217" s="62" t="str">
        <f ca="1">IFERROR(__xludf.DUMMYFUNCTION("""COMPUTED_VALUE"""),"Camara Glass lens Samsung A50")</f>
        <v>Camara Glass lens Samsung A50</v>
      </c>
      <c r="C2217" s="75">
        <f ca="1">IFERROR(__xludf.DUMMYFUNCTION("""COMPUTED_VALUE"""),45)</f>
        <v>45</v>
      </c>
      <c r="D2217" s="75">
        <f ca="1">IFERROR(__xludf.DUMMYFUNCTION("""COMPUTED_VALUE"""),50)</f>
        <v>50</v>
      </c>
      <c r="E2217" s="76">
        <f ca="1">IFERROR(__xludf.DUMMYFUNCTION("""COMPUTED_VALUE"""),95)</f>
        <v>95</v>
      </c>
      <c r="F2217" s="77">
        <f ca="1">IFERROR(__xludf.DUMMYFUNCTION("""COMPUTED_VALUE"""),10010510)</f>
        <v>10010510</v>
      </c>
      <c r="G2217" s="77" t="str">
        <f t="shared" ca="1" si="8"/>
        <v>si</v>
      </c>
    </row>
    <row r="2218" spans="1:7" ht="12.75" x14ac:dyDescent="0.2">
      <c r="A2218" s="62">
        <f ca="1">IFERROR(__xludf.DUMMYFUNCTION("""COMPUTED_VALUE"""),10160332)</f>
        <v>10160332</v>
      </c>
      <c r="B2218" s="62" t="str">
        <f ca="1">IFERROR(__xludf.DUMMYFUNCTION("""COMPUTED_VALUE"""),"Camara Frontal Huawei Mate 9")</f>
        <v>Camara Frontal Huawei Mate 9</v>
      </c>
      <c r="C2218" s="62"/>
      <c r="D2218" s="62"/>
      <c r="E2218" s="76">
        <f ca="1">IFERROR(__xludf.DUMMYFUNCTION("""COMPUTED_VALUE"""),0)</f>
        <v>0</v>
      </c>
      <c r="F2218" s="77">
        <f ca="1">IFERROR(__xludf.DUMMYFUNCTION("""COMPUTED_VALUE"""),10160332)</f>
        <v>10160332</v>
      </c>
      <c r="G2218" s="77" t="str">
        <f t="shared" ca="1" si="8"/>
        <v>si</v>
      </c>
    </row>
    <row r="2219" spans="1:7" ht="12.75" x14ac:dyDescent="0.2">
      <c r="A2219" s="62">
        <f ca="1">IFERROR(__xludf.DUMMYFUNCTION("""COMPUTED_VALUE"""),10160335)</f>
        <v>10160335</v>
      </c>
      <c r="B2219" s="62" t="str">
        <f ca="1">IFERROR(__xludf.DUMMYFUNCTION("""COMPUTED_VALUE"""),"Huawei Board Mate 20 pro")</f>
        <v>Huawei Board Mate 20 pro</v>
      </c>
      <c r="C2219" s="75">
        <f ca="1">IFERROR(__xludf.DUMMYFUNCTION("""COMPUTED_VALUE"""),140)</f>
        <v>140</v>
      </c>
      <c r="D2219" s="75">
        <f ca="1">IFERROR(__xludf.DUMMYFUNCTION("""COMPUTED_VALUE"""),50)</f>
        <v>50</v>
      </c>
      <c r="E2219" s="76">
        <f ca="1">IFERROR(__xludf.DUMMYFUNCTION("""COMPUTED_VALUE"""),190)</f>
        <v>190</v>
      </c>
      <c r="F2219" s="77">
        <f ca="1">IFERROR(__xludf.DUMMYFUNCTION("""COMPUTED_VALUE"""),10160335)</f>
        <v>10160335</v>
      </c>
      <c r="G2219" s="77" t="str">
        <f t="shared" ca="1" si="8"/>
        <v>si</v>
      </c>
    </row>
    <row r="2220" spans="1:7" ht="12.75" x14ac:dyDescent="0.2">
      <c r="A2220" s="62">
        <f ca="1">IFERROR(__xludf.DUMMYFUNCTION("""COMPUTED_VALUE"""),20160025)</f>
        <v>20160025</v>
      </c>
      <c r="B2220" s="62" t="str">
        <f ca="1">IFERROR(__xludf.DUMMYFUNCTION("""COMPUTED_VALUE"""),"TRACKPAD Macbook Pro 15´- A1398 (2013 - 2014)")</f>
        <v>TRACKPAD Macbook Pro 15´- A1398 (2013 - 2014)</v>
      </c>
      <c r="C2220" s="75">
        <f ca="1">IFERROR(__xludf.DUMMYFUNCTION("""COMPUTED_VALUE"""),220)</f>
        <v>220</v>
      </c>
      <c r="D2220" s="75">
        <f ca="1">IFERROR(__xludf.DUMMYFUNCTION("""COMPUTED_VALUE"""),50)</f>
        <v>50</v>
      </c>
      <c r="E2220" s="76">
        <f ca="1">IFERROR(__xludf.DUMMYFUNCTION("""COMPUTED_VALUE"""),270)</f>
        <v>270</v>
      </c>
      <c r="F2220" s="77">
        <f ca="1">IFERROR(__xludf.DUMMYFUNCTION("""COMPUTED_VALUE"""),20160025)</f>
        <v>20160025</v>
      </c>
      <c r="G2220" s="77" t="str">
        <f t="shared" ca="1" si="8"/>
        <v>si</v>
      </c>
    </row>
    <row r="2221" spans="1:7" ht="12.75" x14ac:dyDescent="0.2">
      <c r="A2221" s="62">
        <f ca="1">IFERROR(__xludf.DUMMYFUNCTION("""COMPUTED_VALUE"""),10010511)</f>
        <v>10010511</v>
      </c>
      <c r="B2221" s="62" t="str">
        <f ca="1">IFERROR(__xludf.DUMMYFUNCTION("""COMPUTED_VALUE"""),"Pantalla Sony XZ")</f>
        <v>Pantalla Sony XZ</v>
      </c>
      <c r="C2221" s="75">
        <f ca="1">IFERROR(__xludf.DUMMYFUNCTION("""COMPUTED_VALUE"""),180)</f>
        <v>180</v>
      </c>
      <c r="D2221" s="75">
        <f ca="1">IFERROR(__xludf.DUMMYFUNCTION("""COMPUTED_VALUE"""),0)</f>
        <v>0</v>
      </c>
      <c r="E2221" s="76">
        <f ca="1">IFERROR(__xludf.DUMMYFUNCTION("""COMPUTED_VALUE"""),180)</f>
        <v>180</v>
      </c>
      <c r="F2221" s="77">
        <f ca="1">IFERROR(__xludf.DUMMYFUNCTION("""COMPUTED_VALUE"""),10010511)</f>
        <v>10010511</v>
      </c>
      <c r="G2221" s="77" t="str">
        <f t="shared" ca="1" si="8"/>
        <v>si</v>
      </c>
    </row>
    <row r="2222" spans="1:7" ht="12.75" x14ac:dyDescent="0.2">
      <c r="A2222" s="62">
        <f ca="1">IFERROR(__xludf.DUMMYFUNCTION("""COMPUTED_VALUE"""),10010512)</f>
        <v>10010512</v>
      </c>
      <c r="B2222" s="62" t="str">
        <f ca="1">IFERROR(__xludf.DUMMYFUNCTION("""COMPUTED_VALUE"""),"Pantalla Samsung SM-T710 / SM-T717")</f>
        <v>Pantalla Samsung SM-T710 / SM-T717</v>
      </c>
      <c r="C2222" s="75">
        <f ca="1">IFERROR(__xludf.DUMMYFUNCTION("""COMPUTED_VALUE"""),640)</f>
        <v>640</v>
      </c>
      <c r="D2222" s="75">
        <f ca="1">IFERROR(__xludf.DUMMYFUNCTION("""COMPUTED_VALUE"""),0)</f>
        <v>0</v>
      </c>
      <c r="E2222" s="76">
        <f ca="1">IFERROR(__xludf.DUMMYFUNCTION("""COMPUTED_VALUE"""),640)</f>
        <v>640</v>
      </c>
      <c r="F2222" s="77">
        <f ca="1">IFERROR(__xludf.DUMMYFUNCTION("""COMPUTED_VALUE"""),10010512)</f>
        <v>10010512</v>
      </c>
      <c r="G2222" s="77" t="str">
        <f t="shared" ca="1" si="8"/>
        <v>si</v>
      </c>
    </row>
    <row r="2223" spans="1:7" ht="12.75" x14ac:dyDescent="0.2">
      <c r="A2223" s="62">
        <f ca="1">IFERROR(__xludf.DUMMYFUNCTION("""COMPUTED_VALUE"""),10010513)</f>
        <v>10010513</v>
      </c>
      <c r="B2223" s="62" t="str">
        <f ca="1">IFERROR(__xludf.DUMMYFUNCTION("""COMPUTED_VALUE"""),"Pantalla Samsung M12 / M127F / A12 / A127f / A125 / A125F/ A125M / A127M")</f>
        <v>Pantalla Samsung M12 / M127F / A12 / A127f / A125 / A125F/ A125M / A127M</v>
      </c>
      <c r="C2223" s="75">
        <f ca="1">IFERROR(__xludf.DUMMYFUNCTION("""COMPUTED_VALUE"""),140)</f>
        <v>140</v>
      </c>
      <c r="D2223" s="75">
        <f ca="1">IFERROR(__xludf.DUMMYFUNCTION("""COMPUTED_VALUE"""),0)</f>
        <v>0</v>
      </c>
      <c r="E2223" s="76">
        <f ca="1">IFERROR(__xludf.DUMMYFUNCTION("""COMPUTED_VALUE"""),140)</f>
        <v>140</v>
      </c>
      <c r="F2223" s="77">
        <f ca="1">IFERROR(__xludf.DUMMYFUNCTION("""COMPUTED_VALUE"""),10010513)</f>
        <v>10010513</v>
      </c>
      <c r="G2223" s="77" t="str">
        <f t="shared" ca="1" si="8"/>
        <v>si</v>
      </c>
    </row>
    <row r="2224" spans="1:7" ht="12.75" x14ac:dyDescent="0.2">
      <c r="A2224" s="62">
        <f ca="1">IFERROR(__xludf.DUMMYFUNCTION("""COMPUTED_VALUE"""),10010514)</f>
        <v>10010514</v>
      </c>
      <c r="B2224" s="62" t="str">
        <f ca="1">IFERROR(__xludf.DUMMYFUNCTION("""COMPUTED_VALUE"""),"Pantalla Huawei Honor 70")</f>
        <v>Pantalla Huawei Honor 70</v>
      </c>
      <c r="C2224" s="75">
        <f ca="1">IFERROR(__xludf.DUMMYFUNCTION("""COMPUTED_VALUE"""),290)</f>
        <v>290</v>
      </c>
      <c r="D2224" s="75">
        <f ca="1">IFERROR(__xludf.DUMMYFUNCTION("""COMPUTED_VALUE"""),0)</f>
        <v>0</v>
      </c>
      <c r="E2224" s="76">
        <f ca="1">IFERROR(__xludf.DUMMYFUNCTION("""COMPUTED_VALUE"""),290)</f>
        <v>290</v>
      </c>
      <c r="F2224" s="77">
        <f ca="1">IFERROR(__xludf.DUMMYFUNCTION("""COMPUTED_VALUE"""),10010514)</f>
        <v>10010514</v>
      </c>
      <c r="G2224" s="77" t="str">
        <f t="shared" ca="1" si="8"/>
        <v>si</v>
      </c>
    </row>
    <row r="2225" spans="1:7" ht="12.75" x14ac:dyDescent="0.2">
      <c r="A2225" s="62">
        <f ca="1">IFERROR(__xludf.DUMMYFUNCTION("""COMPUTED_VALUE"""),10010515)</f>
        <v>10010515</v>
      </c>
      <c r="B2225" s="62" t="str">
        <f ca="1">IFERROR(__xludf.DUMMYFUNCTION("""COMPUTED_VALUE"""),"Pantalla Huawei Honor X9")</f>
        <v>Pantalla Huawei Honor X9</v>
      </c>
      <c r="C2225" s="75">
        <f ca="1">IFERROR(__xludf.DUMMYFUNCTION("""COMPUTED_VALUE"""),190)</f>
        <v>190</v>
      </c>
      <c r="D2225" s="75">
        <f ca="1">IFERROR(__xludf.DUMMYFUNCTION("""COMPUTED_VALUE"""),0)</f>
        <v>0</v>
      </c>
      <c r="E2225" s="76">
        <f ca="1">IFERROR(__xludf.DUMMYFUNCTION("""COMPUTED_VALUE"""),190)</f>
        <v>190</v>
      </c>
      <c r="F2225" s="77">
        <f ca="1">IFERROR(__xludf.DUMMYFUNCTION("""COMPUTED_VALUE"""),10010515)</f>
        <v>10010515</v>
      </c>
      <c r="G2225" s="77" t="str">
        <f t="shared" ca="1" si="8"/>
        <v>si</v>
      </c>
    </row>
    <row r="2226" spans="1:7" ht="12.75" x14ac:dyDescent="0.2">
      <c r="A2226" s="62">
        <f ca="1">IFERROR(__xludf.DUMMYFUNCTION("""COMPUTED_VALUE"""),10010521)</f>
        <v>10010521</v>
      </c>
      <c r="B2226" s="62" t="str">
        <f ca="1">IFERROR(__xludf.DUMMYFUNCTION("""COMPUTED_VALUE"""),"Pantalla Moto G50 5G")</f>
        <v>Pantalla Moto G50 5G</v>
      </c>
      <c r="C2226" s="75">
        <f ca="1">IFERROR(__xludf.DUMMYFUNCTION("""COMPUTED_VALUE"""),190)</f>
        <v>190</v>
      </c>
      <c r="D2226" s="75">
        <f ca="1">IFERROR(__xludf.DUMMYFUNCTION("""COMPUTED_VALUE"""),0)</f>
        <v>0</v>
      </c>
      <c r="E2226" s="76">
        <f ca="1">IFERROR(__xludf.DUMMYFUNCTION("""COMPUTED_VALUE"""),190)</f>
        <v>190</v>
      </c>
      <c r="F2226" s="77">
        <f ca="1">IFERROR(__xludf.DUMMYFUNCTION("""COMPUTED_VALUE"""),10010521)</f>
        <v>10010521</v>
      </c>
      <c r="G2226" s="77" t="str">
        <f t="shared" ca="1" si="8"/>
        <v>si</v>
      </c>
    </row>
    <row r="2227" spans="1:7" ht="12.75" x14ac:dyDescent="0.2">
      <c r="A2227" s="62">
        <f ca="1">IFERROR(__xludf.DUMMYFUNCTION("""COMPUTED_VALUE"""),10010516)</f>
        <v>10010516</v>
      </c>
      <c r="B2227" s="62" t="str">
        <f ca="1">IFERROR(__xludf.DUMMYFUNCTION("""COMPUTED_VALUE"""),"Pantalla Realme 9 Pro Plus 5G")</f>
        <v>Pantalla Realme 9 Pro Plus 5G</v>
      </c>
      <c r="C2227" s="75">
        <f ca="1">IFERROR(__xludf.DUMMYFUNCTION("""COMPUTED_VALUE"""),440)</f>
        <v>440</v>
      </c>
      <c r="D2227" s="62"/>
      <c r="E2227" s="76">
        <f ca="1">IFERROR(__xludf.DUMMYFUNCTION("""COMPUTED_VALUE"""),440)</f>
        <v>440</v>
      </c>
      <c r="F2227" s="77">
        <f ca="1">IFERROR(__xludf.DUMMYFUNCTION("""COMPUTED_VALUE"""),10010516)</f>
        <v>10010516</v>
      </c>
      <c r="G2227" s="77" t="str">
        <f t="shared" ca="1" si="8"/>
        <v>si</v>
      </c>
    </row>
    <row r="2228" spans="1:7" ht="12.75" x14ac:dyDescent="0.2">
      <c r="A2228" s="62">
        <f ca="1">IFERROR(__xludf.DUMMYFUNCTION("""COMPUTED_VALUE"""),10010517)</f>
        <v>10010517</v>
      </c>
      <c r="B2228" s="62" t="str">
        <f ca="1">IFERROR(__xludf.DUMMYFUNCTION("""COMPUTED_VALUE"""),"Pantalla Vivo Y33 con marco")</f>
        <v>Pantalla Vivo Y33 con marco</v>
      </c>
      <c r="C2228" s="75">
        <f ca="1">IFERROR(__xludf.DUMMYFUNCTION("""COMPUTED_VALUE"""),190)</f>
        <v>190</v>
      </c>
      <c r="D2228" s="75">
        <f ca="1">IFERROR(__xludf.DUMMYFUNCTION("""COMPUTED_VALUE"""),0)</f>
        <v>0</v>
      </c>
      <c r="E2228" s="76">
        <f ca="1">IFERROR(__xludf.DUMMYFUNCTION("""COMPUTED_VALUE"""),190)</f>
        <v>190</v>
      </c>
      <c r="F2228" s="77">
        <f ca="1">IFERROR(__xludf.DUMMYFUNCTION("""COMPUTED_VALUE"""),10010517)</f>
        <v>10010517</v>
      </c>
      <c r="G2228" s="77" t="str">
        <f t="shared" ca="1" si="8"/>
        <v>si</v>
      </c>
    </row>
    <row r="2229" spans="1:7" ht="12.75" x14ac:dyDescent="0.2">
      <c r="A2229" s="62">
        <f ca="1">IFERROR(__xludf.DUMMYFUNCTION("""COMPUTED_VALUE"""),10010518)</f>
        <v>10010518</v>
      </c>
      <c r="B2229" s="62" t="str">
        <f ca="1">IFERROR(__xludf.DUMMYFUNCTION("""COMPUTED_VALUE"""),"Pantalla Vivo Y53s con marco")</f>
        <v>Pantalla Vivo Y53s con marco</v>
      </c>
      <c r="C2229" s="75">
        <f ca="1">IFERROR(__xludf.DUMMYFUNCTION("""COMPUTED_VALUE"""),190)</f>
        <v>190</v>
      </c>
      <c r="D2229" s="75">
        <f ca="1">IFERROR(__xludf.DUMMYFUNCTION("""COMPUTED_VALUE"""),0)</f>
        <v>0</v>
      </c>
      <c r="E2229" s="76">
        <f ca="1">IFERROR(__xludf.DUMMYFUNCTION("""COMPUTED_VALUE"""),190)</f>
        <v>190</v>
      </c>
      <c r="F2229" s="77">
        <f ca="1">IFERROR(__xludf.DUMMYFUNCTION("""COMPUTED_VALUE"""),10010518)</f>
        <v>10010518</v>
      </c>
      <c r="G2229" s="77" t="str">
        <f t="shared" ca="1" si="8"/>
        <v>si</v>
      </c>
    </row>
    <row r="2230" spans="1:7" ht="12.75" x14ac:dyDescent="0.2">
      <c r="A2230" s="62">
        <f ca="1">IFERROR(__xludf.DUMMYFUNCTION("""COMPUTED_VALUE"""),10010519)</f>
        <v>10010519</v>
      </c>
      <c r="B2230" s="62" t="str">
        <f ca="1">IFERROR(__xludf.DUMMYFUNCTION("""COMPUTED_VALUE"""),"Pantalla OnePlus 10 pro")</f>
        <v>Pantalla OnePlus 10 pro</v>
      </c>
      <c r="C2230" s="75">
        <f ca="1">IFERROR(__xludf.DUMMYFUNCTION("""COMPUTED_VALUE"""),690)</f>
        <v>690</v>
      </c>
      <c r="D2230" s="75">
        <f ca="1">IFERROR(__xludf.DUMMYFUNCTION("""COMPUTED_VALUE"""),0)</f>
        <v>0</v>
      </c>
      <c r="E2230" s="76">
        <f ca="1">IFERROR(__xludf.DUMMYFUNCTION("""COMPUTED_VALUE"""),690)</f>
        <v>690</v>
      </c>
      <c r="F2230" s="77">
        <f ca="1">IFERROR(__xludf.DUMMYFUNCTION("""COMPUTED_VALUE"""),10010519)</f>
        <v>10010519</v>
      </c>
      <c r="G2230" s="77" t="str">
        <f t="shared" ca="1" si="8"/>
        <v>si</v>
      </c>
    </row>
    <row r="2231" spans="1:7" ht="12.75" x14ac:dyDescent="0.2">
      <c r="A2231" s="62">
        <f ca="1">IFERROR(__xludf.DUMMYFUNCTION("""COMPUTED_VALUE"""),10010520)</f>
        <v>10010520</v>
      </c>
      <c r="B2231" s="62" t="str">
        <f ca="1">IFERROR(__xludf.DUMMYFUNCTION("""COMPUTED_VALUE"""),"Pantalla OnePlus Nord 2 5G")</f>
        <v>Pantalla OnePlus Nord 2 5G</v>
      </c>
      <c r="C2231" s="75">
        <f ca="1">IFERROR(__xludf.DUMMYFUNCTION("""COMPUTED_VALUE"""),550)</f>
        <v>550</v>
      </c>
      <c r="D2231" s="75">
        <f ca="1">IFERROR(__xludf.DUMMYFUNCTION("""COMPUTED_VALUE"""),0)</f>
        <v>0</v>
      </c>
      <c r="E2231" s="76">
        <f ca="1">IFERROR(__xludf.DUMMYFUNCTION("""COMPUTED_VALUE"""),550)</f>
        <v>550</v>
      </c>
      <c r="F2231" s="77">
        <f ca="1">IFERROR(__xludf.DUMMYFUNCTION("""COMPUTED_VALUE"""),10010520)</f>
        <v>10010520</v>
      </c>
      <c r="G2231" s="77" t="str">
        <f t="shared" ca="1" si="8"/>
        <v>si</v>
      </c>
    </row>
    <row r="2232" spans="1:7" ht="12.75" x14ac:dyDescent="0.2">
      <c r="A2232" s="62">
        <f ca="1">IFERROR(__xludf.DUMMYFUNCTION("""COMPUTED_VALUE"""),10090004)</f>
        <v>10090004</v>
      </c>
      <c r="B2232" s="62" t="str">
        <f ca="1">IFERROR(__xludf.DUMMYFUNCTION("""COMPUTED_VALUE"""),"AUMENTO Memoria IPhone 8 512gb")</f>
        <v>AUMENTO Memoria IPhone 8 512gb</v>
      </c>
      <c r="C2232" s="75">
        <f ca="1">IFERROR(__xludf.DUMMYFUNCTION("""COMPUTED_VALUE"""),290)</f>
        <v>290</v>
      </c>
      <c r="D2232" s="75">
        <f ca="1">IFERROR(__xludf.DUMMYFUNCTION("""COMPUTED_VALUE"""),0)</f>
        <v>0</v>
      </c>
      <c r="E2232" s="76">
        <f ca="1">IFERROR(__xludf.DUMMYFUNCTION("""COMPUTED_VALUE"""),290)</f>
        <v>290</v>
      </c>
      <c r="F2232" s="77">
        <f ca="1">IFERROR(__xludf.DUMMYFUNCTION("""COMPUTED_VALUE"""),10090004)</f>
        <v>10090004</v>
      </c>
      <c r="G2232" s="77" t="str">
        <f t="shared" ca="1" si="8"/>
        <v>si</v>
      </c>
    </row>
    <row r="2233" spans="1:7" ht="12.75" x14ac:dyDescent="0.2">
      <c r="A2233" s="62">
        <f ca="1">IFERROR(__xludf.DUMMYFUNCTION("""COMPUTED_VALUE"""),10090005)</f>
        <v>10090005</v>
      </c>
      <c r="B2233" s="62" t="str">
        <f ca="1">IFERROR(__xludf.DUMMYFUNCTION("""COMPUTED_VALUE"""),"AUMENTOMemoria IPhone 8P 512gb")</f>
        <v>AUMENTOMemoria IPhone 8P 512gb</v>
      </c>
      <c r="C2233" s="75">
        <f ca="1">IFERROR(__xludf.DUMMYFUNCTION("""COMPUTED_VALUE"""),350)</f>
        <v>350</v>
      </c>
      <c r="D2233" s="75">
        <f ca="1">IFERROR(__xludf.DUMMYFUNCTION("""COMPUTED_VALUE"""),0)</f>
        <v>0</v>
      </c>
      <c r="E2233" s="76">
        <f ca="1">IFERROR(__xludf.DUMMYFUNCTION("""COMPUTED_VALUE"""),350)</f>
        <v>350</v>
      </c>
      <c r="F2233" s="77">
        <f ca="1">IFERROR(__xludf.DUMMYFUNCTION("""COMPUTED_VALUE"""),10090005)</f>
        <v>10090005</v>
      </c>
      <c r="G2233" s="77" t="str">
        <f t="shared" ca="1" si="8"/>
        <v>si</v>
      </c>
    </row>
    <row r="2234" spans="1:7" ht="12.75" x14ac:dyDescent="0.2">
      <c r="A2234" s="62">
        <f ca="1">IFERROR(__xludf.DUMMYFUNCTION("""COMPUTED_VALUE"""),10090006)</f>
        <v>10090006</v>
      </c>
      <c r="B2234" s="62" t="str">
        <f ca="1">IFERROR(__xludf.DUMMYFUNCTION("""COMPUTED_VALUE"""),"AUMENTO Memoria IPhone X 512gb")</f>
        <v>AUMENTO Memoria IPhone X 512gb</v>
      </c>
      <c r="C2234" s="75">
        <f ca="1">IFERROR(__xludf.DUMMYFUNCTION("""COMPUTED_VALUE"""),390)</f>
        <v>390</v>
      </c>
      <c r="D2234" s="75">
        <f ca="1">IFERROR(__xludf.DUMMYFUNCTION("""COMPUTED_VALUE"""),0)</f>
        <v>0</v>
      </c>
      <c r="E2234" s="76">
        <f ca="1">IFERROR(__xludf.DUMMYFUNCTION("""COMPUTED_VALUE"""),390)</f>
        <v>390</v>
      </c>
      <c r="F2234" s="77">
        <f ca="1">IFERROR(__xludf.DUMMYFUNCTION("""COMPUTED_VALUE"""),10090006)</f>
        <v>10090006</v>
      </c>
      <c r="G2234" s="77" t="str">
        <f t="shared" ca="1" si="8"/>
        <v>si</v>
      </c>
    </row>
    <row r="2235" spans="1:7" ht="12.75" x14ac:dyDescent="0.2">
      <c r="A2235" s="62">
        <f ca="1">IFERROR(__xludf.DUMMYFUNCTION("""COMPUTED_VALUE"""),10090007)</f>
        <v>10090007</v>
      </c>
      <c r="B2235" s="62" t="str">
        <f ca="1">IFERROR(__xludf.DUMMYFUNCTION("""COMPUTED_VALUE"""),"AUMENTO Memoria IPhone Xr 512gb")</f>
        <v>AUMENTO Memoria IPhone Xr 512gb</v>
      </c>
      <c r="C2235" s="75">
        <f ca="1">IFERROR(__xludf.DUMMYFUNCTION("""COMPUTED_VALUE"""),390)</f>
        <v>390</v>
      </c>
      <c r="D2235" s="75">
        <f ca="1">IFERROR(__xludf.DUMMYFUNCTION("""COMPUTED_VALUE"""),0)</f>
        <v>0</v>
      </c>
      <c r="E2235" s="76">
        <f ca="1">IFERROR(__xludf.DUMMYFUNCTION("""COMPUTED_VALUE"""),390)</f>
        <v>390</v>
      </c>
      <c r="F2235" s="77">
        <f ca="1">IFERROR(__xludf.DUMMYFUNCTION("""COMPUTED_VALUE"""),10090007)</f>
        <v>10090007</v>
      </c>
      <c r="G2235" s="77" t="str">
        <f t="shared" ca="1" si="8"/>
        <v>si</v>
      </c>
    </row>
    <row r="2236" spans="1:7" ht="12.75" x14ac:dyDescent="0.2">
      <c r="A2236" s="62">
        <f ca="1">IFERROR(__xludf.DUMMYFUNCTION("""COMPUTED_VALUE"""),10090008)</f>
        <v>10090008</v>
      </c>
      <c r="B2236" s="62" t="str">
        <f ca="1">IFERROR(__xludf.DUMMYFUNCTION("""COMPUTED_VALUE"""),"AUMENTO Memoria IPhone 11 512gb")</f>
        <v>AUMENTO Memoria IPhone 11 512gb</v>
      </c>
      <c r="C2236" s="75">
        <f ca="1">IFERROR(__xludf.DUMMYFUNCTION("""COMPUTED_VALUE"""),450)</f>
        <v>450</v>
      </c>
      <c r="D2236" s="75">
        <f ca="1">IFERROR(__xludf.DUMMYFUNCTION("""COMPUTED_VALUE"""),0)</f>
        <v>0</v>
      </c>
      <c r="E2236" s="76">
        <f ca="1">IFERROR(__xludf.DUMMYFUNCTION("""COMPUTED_VALUE"""),450)</f>
        <v>450</v>
      </c>
      <c r="F2236" s="77">
        <f ca="1">IFERROR(__xludf.DUMMYFUNCTION("""COMPUTED_VALUE"""),10090008)</f>
        <v>10090008</v>
      </c>
      <c r="G2236" s="77" t="str">
        <f t="shared" ca="1" si="8"/>
        <v>si</v>
      </c>
    </row>
    <row r="2237" spans="1:7" ht="12.75" x14ac:dyDescent="0.2">
      <c r="A2237" s="62">
        <f ca="1">IFERROR(__xludf.DUMMYFUNCTION("""COMPUTED_VALUE"""),10090009)</f>
        <v>10090009</v>
      </c>
      <c r="B2237" s="62" t="str">
        <f ca="1">IFERROR(__xludf.DUMMYFUNCTION("""COMPUTED_VALUE"""),"AUMENTO Memoria IPhone 13 - 13 Mini 13 Pro 13 Pro max  512gb")</f>
        <v>AUMENTO Memoria IPhone 13 - 13 Mini 13 Pro 13 Pro max  512gb</v>
      </c>
      <c r="C2237" s="75">
        <f ca="1">IFERROR(__xludf.DUMMYFUNCTION("""COMPUTED_VALUE"""),590)</f>
        <v>590</v>
      </c>
      <c r="D2237" s="75">
        <f ca="1">IFERROR(__xludf.DUMMYFUNCTION("""COMPUTED_VALUE"""),100)</f>
        <v>100</v>
      </c>
      <c r="E2237" s="76">
        <f ca="1">IFERROR(__xludf.DUMMYFUNCTION("""COMPUTED_VALUE"""),690)</f>
        <v>690</v>
      </c>
      <c r="F2237" s="77">
        <f ca="1">IFERROR(__xludf.DUMMYFUNCTION("""COMPUTED_VALUE"""),10090009)</f>
        <v>10090009</v>
      </c>
      <c r="G2237" s="77" t="str">
        <f t="shared" ca="1" si="8"/>
        <v>si</v>
      </c>
    </row>
    <row r="2238" spans="1:7" ht="12.75" x14ac:dyDescent="0.2">
      <c r="A2238" s="62">
        <f ca="1">IFERROR(__xludf.DUMMYFUNCTION("""COMPUTED_VALUE"""),10090010)</f>
        <v>10090010</v>
      </c>
      <c r="B2238" s="62" t="str">
        <f ca="1">IFERROR(__xludf.DUMMYFUNCTION("""COMPUTED_VALUE"""),"AUMENTO Memoria IPhone 13 - 13 Mini 13 Pro 13 Pro max  1TB")</f>
        <v>AUMENTO Memoria IPhone 13 - 13 Mini 13 Pro 13 Pro max  1TB</v>
      </c>
      <c r="C2238" s="75">
        <f ca="1">IFERROR(__xludf.DUMMYFUNCTION("""COMPUTED_VALUE"""),790)</f>
        <v>790</v>
      </c>
      <c r="D2238" s="75">
        <f ca="1">IFERROR(__xludf.DUMMYFUNCTION("""COMPUTED_VALUE"""),100)</f>
        <v>100</v>
      </c>
      <c r="E2238" s="76">
        <f ca="1">IFERROR(__xludf.DUMMYFUNCTION("""COMPUTED_VALUE"""),890)</f>
        <v>890</v>
      </c>
      <c r="F2238" s="77">
        <f ca="1">IFERROR(__xludf.DUMMYFUNCTION("""COMPUTED_VALUE"""),10090010)</f>
        <v>10090010</v>
      </c>
      <c r="G2238" s="77" t="str">
        <f t="shared" ca="1" si="8"/>
        <v>si</v>
      </c>
    </row>
    <row r="2239" spans="1:7" ht="12.75" x14ac:dyDescent="0.2">
      <c r="A2239" s="62">
        <f ca="1">IFERROR(__xludf.DUMMYFUNCTION("""COMPUTED_VALUE"""),10090011)</f>
        <v>10090011</v>
      </c>
      <c r="B2239" s="62" t="str">
        <f ca="1">IFERROR(__xludf.DUMMYFUNCTION("""COMPUTED_VALUE"""),"AUMENTO Memoria IPhone 12 - 12 Mini 12 Pro 12 Pro max  1TB")</f>
        <v>AUMENTO Memoria IPhone 12 - 12 Mini 12 Pro 12 Pro max  1TB</v>
      </c>
      <c r="C2239" s="75">
        <f ca="1">IFERROR(__xludf.DUMMYFUNCTION("""COMPUTED_VALUE"""),790)</f>
        <v>790</v>
      </c>
      <c r="D2239" s="75">
        <f ca="1">IFERROR(__xludf.DUMMYFUNCTION("""COMPUTED_VALUE"""),100)</f>
        <v>100</v>
      </c>
      <c r="E2239" s="76">
        <f ca="1">IFERROR(__xludf.DUMMYFUNCTION("""COMPUTED_VALUE"""),890)</f>
        <v>890</v>
      </c>
      <c r="F2239" s="77">
        <f ca="1">IFERROR(__xludf.DUMMYFUNCTION("""COMPUTED_VALUE"""),10090011)</f>
        <v>10090011</v>
      </c>
      <c r="G2239" s="77" t="str">
        <f t="shared" ca="1" si="8"/>
        <v>si</v>
      </c>
    </row>
    <row r="2240" spans="1:7" ht="12.75" x14ac:dyDescent="0.2">
      <c r="A2240" s="62">
        <f ca="1">IFERROR(__xludf.DUMMYFUNCTION("""COMPUTED_VALUE"""),10080387)</f>
        <v>10080387</v>
      </c>
      <c r="B2240" s="62" t="str">
        <f ca="1">IFERROR(__xludf.DUMMYFUNCTION("""COMPUTED_VALUE"""),"Tapa Trasera Samsung Note 5")</f>
        <v>Tapa Trasera Samsung Note 5</v>
      </c>
      <c r="C2240" s="75">
        <f ca="1">IFERROR(__xludf.DUMMYFUNCTION("""COMPUTED_VALUE"""),50)</f>
        <v>50</v>
      </c>
      <c r="D2240" s="75">
        <f ca="1">IFERROR(__xludf.DUMMYFUNCTION("""COMPUTED_VALUE"""),30)</f>
        <v>30</v>
      </c>
      <c r="E2240" s="76">
        <f ca="1">IFERROR(__xludf.DUMMYFUNCTION("""COMPUTED_VALUE"""),80)</f>
        <v>80</v>
      </c>
      <c r="F2240" s="77">
        <f ca="1">IFERROR(__xludf.DUMMYFUNCTION("""COMPUTED_VALUE"""),10080387)</f>
        <v>10080387</v>
      </c>
      <c r="G2240" s="77" t="str">
        <f t="shared" ca="1" si="8"/>
        <v>si</v>
      </c>
    </row>
    <row r="2241" spans="1:7" ht="12.75" x14ac:dyDescent="0.2">
      <c r="A2241" s="62">
        <f ca="1">IFERROR(__xludf.DUMMYFUNCTION("""COMPUTED_VALUE"""),20050040)</f>
        <v>20050040</v>
      </c>
      <c r="B2241" s="62" t="str">
        <f ca="1">IFERROR(__xludf.DUMMYFUNCTION("""COMPUTED_VALUE"""),"Pantalla Laptop 14.0 Slim 30pin HD 1366*768 Reducida PCBA (N140BGE-E54)")</f>
        <v>Pantalla Laptop 14.0 Slim 30pin HD 1366*768 Reducida PCBA (N140BGE-E54)</v>
      </c>
      <c r="C2241" s="75">
        <f ca="1">IFERROR(__xludf.DUMMYFUNCTION("""COMPUTED_VALUE"""),300)</f>
        <v>300</v>
      </c>
      <c r="D2241" s="75">
        <f ca="1">IFERROR(__xludf.DUMMYFUNCTION("""COMPUTED_VALUE"""),100)</f>
        <v>100</v>
      </c>
      <c r="E2241" s="76">
        <f ca="1">IFERROR(__xludf.DUMMYFUNCTION("""COMPUTED_VALUE"""),400)</f>
        <v>400</v>
      </c>
      <c r="F2241" s="77">
        <f ca="1">IFERROR(__xludf.DUMMYFUNCTION("""COMPUTED_VALUE"""),20050040)</f>
        <v>20050040</v>
      </c>
      <c r="G2241" s="77" t="str">
        <f t="shared" ca="1" si="8"/>
        <v>si</v>
      </c>
    </row>
    <row r="2242" spans="1:7" ht="12.75" x14ac:dyDescent="0.2">
      <c r="A2242" s="62">
        <f ca="1">IFERROR(__xludf.DUMMYFUNCTION("""COMPUTED_VALUE"""),20050041)</f>
        <v>20050041</v>
      </c>
      <c r="B2242" s="62" t="str">
        <f ca="1">IFERROR(__xludf.DUMMYFUNCTION("""COMPUTED_VALUE"""),"Pantalla Laptop 14.0 Slim 30pin HD 1366*768  REDUCIDA CON GANCHOS (NT140WHM-N44)(NT140WHM-N31)")</f>
        <v>Pantalla Laptop 14.0 Slim 30pin HD 1366*768  REDUCIDA CON GANCHOS (NT140WHM-N44)(NT140WHM-N31)</v>
      </c>
      <c r="C2242" s="75">
        <f ca="1">IFERROR(__xludf.DUMMYFUNCTION("""COMPUTED_VALUE"""),310)</f>
        <v>310</v>
      </c>
      <c r="D2242" s="75">
        <f ca="1">IFERROR(__xludf.DUMMYFUNCTION("""COMPUTED_VALUE"""),100)</f>
        <v>100</v>
      </c>
      <c r="E2242" s="76">
        <f ca="1">IFERROR(__xludf.DUMMYFUNCTION("""COMPUTED_VALUE"""),410)</f>
        <v>410</v>
      </c>
      <c r="F2242" s="77">
        <f ca="1">IFERROR(__xludf.DUMMYFUNCTION("""COMPUTED_VALUE"""),20050041)</f>
        <v>20050041</v>
      </c>
      <c r="G2242" s="77" t="str">
        <f t="shared" ca="1" si="8"/>
        <v>si</v>
      </c>
    </row>
    <row r="2243" spans="1:7" ht="12.75" x14ac:dyDescent="0.2">
      <c r="A2243" s="62">
        <f ca="1">IFERROR(__xludf.DUMMYFUNCTION("""COMPUTED_VALUE"""),20050042)</f>
        <v>20050042</v>
      </c>
      <c r="B2243" s="62" t="str">
        <f ca="1">IFERROR(__xludf.DUMMYFUNCTION("""COMPUTED_VALUE"""),"Pantalla Laptop 14.0 slim 40 pin 2.2K (2240x1400)   (NV140DRM-N61 V8.0)")</f>
        <v>Pantalla Laptop 14.0 slim 40 pin 2.2K (2240x1400)   (NV140DRM-N61 V8.0)</v>
      </c>
      <c r="C2243" s="75">
        <f ca="1">IFERROR(__xludf.DUMMYFUNCTION("""COMPUTED_VALUE"""),800)</f>
        <v>800</v>
      </c>
      <c r="D2243" s="75">
        <f ca="1">IFERROR(__xludf.DUMMYFUNCTION("""COMPUTED_VALUE"""),100)</f>
        <v>100</v>
      </c>
      <c r="E2243" s="76">
        <f ca="1">IFERROR(__xludf.DUMMYFUNCTION("""COMPUTED_VALUE"""),900)</f>
        <v>900</v>
      </c>
      <c r="F2243" s="77">
        <f ca="1">IFERROR(__xludf.DUMMYFUNCTION("""COMPUTED_VALUE"""),20050042)</f>
        <v>20050042</v>
      </c>
      <c r="G2243" s="77" t="str">
        <f t="shared" ca="1" si="8"/>
        <v>si</v>
      </c>
    </row>
    <row r="2244" spans="1:7" ht="12.75" x14ac:dyDescent="0.2">
      <c r="A2244" s="62">
        <f ca="1">IFERROR(__xludf.DUMMYFUNCTION("""COMPUTED_VALUE"""),20050043)</f>
        <v>20050043</v>
      </c>
      <c r="B2244" s="62" t="str">
        <f ca="1">IFERROR(__xludf.DUMMYFUNCTION("""COMPUTED_VALUE"""),"Pantalla Laptop 14.0"" Slim 30pin FHD 1920*1080 Reducida (N140HGA-EA1) ")</f>
        <v xml:space="preserve">Pantalla Laptop 14.0" Slim 30pin FHD 1920*1080 Reducida (N140HGA-EA1) </v>
      </c>
      <c r="C2244" s="75">
        <f ca="1">IFERROR(__xludf.DUMMYFUNCTION("""COMPUTED_VALUE"""),330)</f>
        <v>330</v>
      </c>
      <c r="D2244" s="75">
        <f ca="1">IFERROR(__xludf.DUMMYFUNCTION("""COMPUTED_VALUE"""),100)</f>
        <v>100</v>
      </c>
      <c r="E2244" s="76">
        <f ca="1">IFERROR(__xludf.DUMMYFUNCTION("""COMPUTED_VALUE"""),430)</f>
        <v>430</v>
      </c>
      <c r="F2244" s="77">
        <f ca="1">IFERROR(__xludf.DUMMYFUNCTION("""COMPUTED_VALUE"""),20050043)</f>
        <v>20050043</v>
      </c>
      <c r="G2244" s="77" t="str">
        <f t="shared" ca="1" si="8"/>
        <v>si</v>
      </c>
    </row>
    <row r="2245" spans="1:7" ht="12.75" x14ac:dyDescent="0.2">
      <c r="A2245" s="62">
        <f ca="1">IFERROR(__xludf.DUMMYFUNCTION("""COMPUTED_VALUE"""),20050044)</f>
        <v>20050044</v>
      </c>
      <c r="B2245" s="62" t="str">
        <f ca="1">IFERROR(__xludf.DUMMYFUNCTION("""COMPUTED_VALUE"""),"Pantalla Laptop 14.0 Slim 30pin HD 1366*768 Normal CON GANCHOS")</f>
        <v>Pantalla Laptop 14.0 Slim 30pin HD 1366*768 Normal CON GANCHOS</v>
      </c>
      <c r="C2245" s="75">
        <f ca="1">IFERROR(__xludf.DUMMYFUNCTION("""COMPUTED_VALUE"""),330)</f>
        <v>330</v>
      </c>
      <c r="D2245" s="75">
        <f ca="1">IFERROR(__xludf.DUMMYFUNCTION("""COMPUTED_VALUE"""),100)</f>
        <v>100</v>
      </c>
      <c r="E2245" s="76">
        <f ca="1">IFERROR(__xludf.DUMMYFUNCTION("""COMPUTED_VALUE"""),430)</f>
        <v>430</v>
      </c>
      <c r="F2245" s="77">
        <f ca="1">IFERROR(__xludf.DUMMYFUNCTION("""COMPUTED_VALUE"""),20050044)</f>
        <v>20050044</v>
      </c>
      <c r="G2245" s="77" t="str">
        <f t="shared" ca="1" si="8"/>
        <v>si</v>
      </c>
    </row>
    <row r="2246" spans="1:7" ht="12.75" x14ac:dyDescent="0.2">
      <c r="A2246" s="62">
        <f ca="1">IFERROR(__xludf.DUMMYFUNCTION("""COMPUTED_VALUE"""),20050045)</f>
        <v>20050045</v>
      </c>
      <c r="B2246" s="62" t="str">
        <f ca="1">IFERROR(__xludf.DUMMYFUNCTION("""COMPUTED_VALUE"""),"Pantalla Laptop 14.0 Slim 40pin FHD 1920*1080 Reducida (LM140LF6L01 IPS)")</f>
        <v>Pantalla Laptop 14.0 Slim 40pin FHD 1920*1080 Reducida (LM140LF6L01 IPS)</v>
      </c>
      <c r="C2246" s="75">
        <f ca="1">IFERROR(__xludf.DUMMYFUNCTION("""COMPUTED_VALUE"""),380)</f>
        <v>380</v>
      </c>
      <c r="D2246" s="75">
        <f ca="1">IFERROR(__xludf.DUMMYFUNCTION("""COMPUTED_VALUE"""),100)</f>
        <v>100</v>
      </c>
      <c r="E2246" s="76">
        <f ca="1">IFERROR(__xludf.DUMMYFUNCTION("""COMPUTED_VALUE"""),480)</f>
        <v>480</v>
      </c>
      <c r="F2246" s="77">
        <f ca="1">IFERROR(__xludf.DUMMYFUNCTION("""COMPUTED_VALUE"""),20050045)</f>
        <v>20050045</v>
      </c>
      <c r="G2246" s="77" t="str">
        <f t="shared" ca="1" si="8"/>
        <v>si</v>
      </c>
    </row>
    <row r="2247" spans="1:7" ht="12.75" x14ac:dyDescent="0.2">
      <c r="A2247" s="62">
        <f ca="1">IFERROR(__xludf.DUMMYFUNCTION("""COMPUTED_VALUE"""),20050046)</f>
        <v>20050046</v>
      </c>
      <c r="B2247" s="62"/>
      <c r="C2247" s="62"/>
      <c r="D2247" s="62"/>
      <c r="E2247" s="57"/>
      <c r="F2247" s="77">
        <f ca="1">IFERROR(__xludf.DUMMYFUNCTION("""COMPUTED_VALUE"""),20050046)</f>
        <v>20050046</v>
      </c>
      <c r="G2247" s="77" t="str">
        <f t="shared" ca="1" si="8"/>
        <v>si</v>
      </c>
    </row>
    <row r="2248" spans="1:7" ht="12.75" x14ac:dyDescent="0.2">
      <c r="A2248" s="62">
        <f ca="1">IFERROR(__xludf.DUMMYFUNCTION("""COMPUTED_VALUE"""),20050047)</f>
        <v>20050047</v>
      </c>
      <c r="B2248" s="62"/>
      <c r="C2248" s="62"/>
      <c r="D2248" s="62"/>
      <c r="E2248" s="57"/>
      <c r="F2248" s="77">
        <f ca="1">IFERROR(__xludf.DUMMYFUNCTION("""COMPUTED_VALUE"""),20050047)</f>
        <v>20050047</v>
      </c>
      <c r="G2248" s="77" t="str">
        <f t="shared" ca="1" si="8"/>
        <v>si</v>
      </c>
    </row>
    <row r="2249" spans="1:7" ht="12.75" x14ac:dyDescent="0.2">
      <c r="A2249" s="62">
        <f ca="1">IFERROR(__xludf.DUMMYFUNCTION("""COMPUTED_VALUE"""),10010550)</f>
        <v>10010550</v>
      </c>
      <c r="B2249" s="62" t="str">
        <f ca="1">IFERROR(__xludf.DUMMYFUNCTION("""COMPUTED_VALUE"""),"Cover iphone 14 Plus")</f>
        <v>Cover iphone 14 Plus</v>
      </c>
      <c r="C2249" s="75">
        <f ca="1">IFERROR(__xludf.DUMMYFUNCTION("""COMPUTED_VALUE"""),1350)</f>
        <v>1350</v>
      </c>
      <c r="D2249" s="75">
        <f ca="1">IFERROR(__xludf.DUMMYFUNCTION("""COMPUTED_VALUE"""),0)</f>
        <v>0</v>
      </c>
      <c r="E2249" s="76">
        <f ca="1">IFERROR(__xludf.DUMMYFUNCTION("""COMPUTED_VALUE"""),1350)</f>
        <v>1350</v>
      </c>
      <c r="F2249" s="77">
        <f ca="1">IFERROR(__xludf.DUMMYFUNCTION("""COMPUTED_VALUE"""),10010550)</f>
        <v>10010550</v>
      </c>
      <c r="G2249" s="77" t="str">
        <f t="shared" ca="1" si="8"/>
        <v>si</v>
      </c>
    </row>
    <row r="2250" spans="1:7" ht="12.75" x14ac:dyDescent="0.2">
      <c r="A2250" s="62">
        <f ca="1">IFERROR(__xludf.DUMMYFUNCTION("""COMPUTED_VALUE"""),20050049)</f>
        <v>20050049</v>
      </c>
      <c r="B2250" s="62" t="str">
        <f ca="1">IFERROR(__xludf.DUMMYFUNCTION("""COMPUTED_VALUE"""),"Pantalla 15.6'' slim normal 1366*768 40pin Glossy    NT156WHM-N10")</f>
        <v>Pantalla 15.6'' slim normal 1366*768 40pin Glossy    NT156WHM-N10</v>
      </c>
      <c r="C2250" s="75">
        <f ca="1">IFERROR(__xludf.DUMMYFUNCTION("""COMPUTED_VALUE"""),330)</f>
        <v>330</v>
      </c>
      <c r="D2250" s="75">
        <f ca="1">IFERROR(__xludf.DUMMYFUNCTION("""COMPUTED_VALUE"""),100)</f>
        <v>100</v>
      </c>
      <c r="E2250" s="76">
        <f ca="1">IFERROR(__xludf.DUMMYFUNCTION("""COMPUTED_VALUE"""),430)</f>
        <v>430</v>
      </c>
      <c r="F2250" s="77">
        <f ca="1">IFERROR(__xludf.DUMMYFUNCTION("""COMPUTED_VALUE"""),20050049)</f>
        <v>20050049</v>
      </c>
      <c r="G2250" s="77" t="str">
        <f t="shared" ca="1" si="8"/>
        <v>si</v>
      </c>
    </row>
    <row r="2251" spans="1:7" ht="12.75" x14ac:dyDescent="0.2">
      <c r="A2251" s="62">
        <f ca="1">IFERROR(__xludf.DUMMYFUNCTION("""COMPUTED_VALUE"""),20050050)</f>
        <v>20050050</v>
      </c>
      <c r="B2251" s="62" t="str">
        <f ca="1">IFERROR(__xludf.DUMMYFUNCTION("""COMPUTED_VALUE"""),"Pantalla 15.6'' 1366*768 slim redicida 30pin Matte   (NT156WHM-N44 )")</f>
        <v>Pantalla 15.6'' 1366*768 slim redicida 30pin Matte   (NT156WHM-N44 )</v>
      </c>
      <c r="C2251" s="75">
        <f ca="1">IFERROR(__xludf.DUMMYFUNCTION("""COMPUTED_VALUE"""),320)</f>
        <v>320</v>
      </c>
      <c r="D2251" s="75">
        <f ca="1">IFERROR(__xludf.DUMMYFUNCTION("""COMPUTED_VALUE"""),100)</f>
        <v>100</v>
      </c>
      <c r="E2251" s="76">
        <f ca="1">IFERROR(__xludf.DUMMYFUNCTION("""COMPUTED_VALUE"""),420)</f>
        <v>420</v>
      </c>
      <c r="F2251" s="77">
        <f ca="1">IFERROR(__xludf.DUMMYFUNCTION("""COMPUTED_VALUE"""),20050050)</f>
        <v>20050050</v>
      </c>
      <c r="G2251" s="77" t="str">
        <f t="shared" ca="1" si="8"/>
        <v>si</v>
      </c>
    </row>
    <row r="2252" spans="1:7" ht="12.75" x14ac:dyDescent="0.2">
      <c r="A2252" s="62">
        <f ca="1">IFERROR(__xludf.DUMMYFUNCTION("""COMPUTED_VALUE"""),20050051)</f>
        <v>20050051</v>
      </c>
      <c r="B2252" s="62" t="str">
        <f ca="1">IFERROR(__xludf.DUMMYFUNCTION("""COMPUTED_VALUE"""),"Pantalla 15.6''    SLIM REDUCIDA FHD 1920*1080   30pin Matte   (N156HCA-EAB /  N156HCA-EAC / LP156WFC-SPDB)")</f>
        <v>Pantalla 15.6''    SLIM REDUCIDA FHD 1920*1080   30pin Matte   (N156HCA-EAB /  N156HCA-EAC / LP156WFC-SPDB)</v>
      </c>
      <c r="C2252" s="75">
        <f ca="1">IFERROR(__xludf.DUMMYFUNCTION("""COMPUTED_VALUE"""),350)</f>
        <v>350</v>
      </c>
      <c r="D2252" s="75">
        <f ca="1">IFERROR(__xludf.DUMMYFUNCTION("""COMPUTED_VALUE"""),100)</f>
        <v>100</v>
      </c>
      <c r="E2252" s="76">
        <f ca="1">IFERROR(__xludf.DUMMYFUNCTION("""COMPUTED_VALUE"""),450)</f>
        <v>450</v>
      </c>
      <c r="F2252" s="77">
        <f ca="1">IFERROR(__xludf.DUMMYFUNCTION("""COMPUTED_VALUE"""),20050051)</f>
        <v>20050051</v>
      </c>
      <c r="G2252" s="77" t="str">
        <f t="shared" ca="1" si="8"/>
        <v>si</v>
      </c>
    </row>
    <row r="2253" spans="1:7" ht="12.75" x14ac:dyDescent="0.2">
      <c r="A2253" s="62">
        <f ca="1">IFERROR(__xludf.DUMMYFUNCTION("""COMPUTED_VALUE"""),10010549)</f>
        <v>10010549</v>
      </c>
      <c r="B2253" s="62" t="str">
        <f ca="1">IFERROR(__xludf.DUMMYFUNCTION("""COMPUTED_VALUE"""),"Pantallas IPhone 14 Plus")</f>
        <v>Pantallas IPhone 14 Plus</v>
      </c>
      <c r="C2253" s="75">
        <f ca="1">IFERROR(__xludf.DUMMYFUNCTION("""COMPUTED_VALUE"""),1540)</f>
        <v>1540</v>
      </c>
      <c r="D2253" s="75">
        <f ca="1">IFERROR(__xludf.DUMMYFUNCTION("""COMPUTED_VALUE"""),150)</f>
        <v>150</v>
      </c>
      <c r="E2253" s="76">
        <f ca="1">IFERROR(__xludf.DUMMYFUNCTION("""COMPUTED_VALUE"""),1690)</f>
        <v>1690</v>
      </c>
      <c r="F2253" s="77">
        <f ca="1">IFERROR(__xludf.DUMMYFUNCTION("""COMPUTED_VALUE"""),10010549)</f>
        <v>10010549</v>
      </c>
      <c r="G2253" s="77" t="str">
        <f t="shared" ca="1" si="8"/>
        <v>si</v>
      </c>
    </row>
    <row r="2254" spans="1:7" ht="12.75" x14ac:dyDescent="0.2">
      <c r="A2254" s="62">
        <f ca="1">IFERROR(__xludf.DUMMYFUNCTION("""COMPUTED_VALUE"""),20050053)</f>
        <v>20050053</v>
      </c>
      <c r="B2254" s="62" t="str">
        <f ca="1">IFERROR(__xludf.DUMMYFUNCTION("""COMPUTED_VALUE"""),"Pantalla 15.6''  1920*1080 SLIM Reducida  40pin Matte sin  brackets REDUCIDA  (LP156WGF (SP) (B2))")</f>
        <v>Pantalla 15.6''  1920*1080 SLIM Reducida  40pin Matte sin  brackets REDUCIDA  (LP156WGF (SP) (B2))</v>
      </c>
      <c r="C2254" s="75">
        <f ca="1">IFERROR(__xludf.DUMMYFUNCTION("""COMPUTED_VALUE"""),380)</f>
        <v>380</v>
      </c>
      <c r="D2254" s="75">
        <f ca="1">IFERROR(__xludf.DUMMYFUNCTION("""COMPUTED_VALUE"""),100)</f>
        <v>100</v>
      </c>
      <c r="E2254" s="76">
        <f ca="1">IFERROR(__xludf.DUMMYFUNCTION("""COMPUTED_VALUE"""),480)</f>
        <v>480</v>
      </c>
      <c r="F2254" s="77">
        <f ca="1">IFERROR(__xludf.DUMMYFUNCTION("""COMPUTED_VALUE"""),20050053)</f>
        <v>20050053</v>
      </c>
      <c r="G2254" s="77" t="str">
        <f t="shared" ca="1" si="8"/>
        <v>si</v>
      </c>
    </row>
    <row r="2255" spans="1:7" ht="12.75" x14ac:dyDescent="0.2">
      <c r="A2255" s="62">
        <f ca="1">IFERROR(__xludf.DUMMYFUNCTION("""COMPUTED_VALUE"""),20050054)</f>
        <v>20050054</v>
      </c>
      <c r="B2255" s="62" t="str">
        <f ca="1">IFERROR(__xludf.DUMMYFUNCTION("""COMPUTED_VALUE"""),"Pantalla 15.6''  1920*1080 SLIM normal 40pin con  brackets   (B156HW03 V.0)")</f>
        <v>Pantalla 15.6''  1920*1080 SLIM normal 40pin con  brackets   (B156HW03 V.0)</v>
      </c>
      <c r="C2255" s="75">
        <f ca="1">IFERROR(__xludf.DUMMYFUNCTION("""COMPUTED_VALUE"""),420)</f>
        <v>420</v>
      </c>
      <c r="D2255" s="75">
        <f ca="1">IFERROR(__xludf.DUMMYFUNCTION("""COMPUTED_VALUE"""),100)</f>
        <v>100</v>
      </c>
      <c r="E2255" s="76">
        <f ca="1">IFERROR(__xludf.DUMMYFUNCTION("""COMPUTED_VALUE"""),520)</f>
        <v>520</v>
      </c>
      <c r="F2255" s="77">
        <f ca="1">IFERROR(__xludf.DUMMYFUNCTION("""COMPUTED_VALUE"""),20050054)</f>
        <v>20050054</v>
      </c>
      <c r="G2255" s="77" t="str">
        <f t="shared" ca="1" si="8"/>
        <v>si</v>
      </c>
    </row>
    <row r="2256" spans="1:7" ht="12.75" x14ac:dyDescent="0.2">
      <c r="A2256" s="62">
        <f ca="1">IFERROR(__xludf.DUMMYFUNCTION("""COMPUTED_VALUE"""),20050055)</f>
        <v>20050055</v>
      </c>
      <c r="B2256" s="62" t="str">
        <f ca="1">IFERROR(__xludf.DUMMYFUNCTION("""COMPUTED_VALUE"""),"Pantalla 15.6''  Slim normal 30pin   Matte   con brackets  1920*1080   FHD  (NV156FHM-N42) ")</f>
        <v xml:space="preserve">Pantalla 15.6''  Slim normal 30pin   Matte   con brackets  1920*1080   FHD  (NV156FHM-N42) </v>
      </c>
      <c r="C2256" s="75">
        <f ca="1">IFERROR(__xludf.DUMMYFUNCTION("""COMPUTED_VALUE"""),350)</f>
        <v>350</v>
      </c>
      <c r="D2256" s="75">
        <f ca="1">IFERROR(__xludf.DUMMYFUNCTION("""COMPUTED_VALUE"""),100)</f>
        <v>100</v>
      </c>
      <c r="E2256" s="76">
        <f ca="1">IFERROR(__xludf.DUMMYFUNCTION("""COMPUTED_VALUE"""),450)</f>
        <v>450</v>
      </c>
      <c r="F2256" s="77">
        <f ca="1">IFERROR(__xludf.DUMMYFUNCTION("""COMPUTED_VALUE"""),20050055)</f>
        <v>20050055</v>
      </c>
      <c r="G2256" s="77" t="str">
        <f t="shared" ca="1" si="8"/>
        <v>si</v>
      </c>
    </row>
    <row r="2257" spans="1:7" ht="12.75" x14ac:dyDescent="0.2">
      <c r="A2257" s="62">
        <f ca="1">IFERROR(__xludf.DUMMYFUNCTION("""COMPUTED_VALUE"""),10010522)</f>
        <v>10010522</v>
      </c>
      <c r="B2257" s="62" t="str">
        <f ca="1">IFERROR(__xludf.DUMMYFUNCTION("""COMPUTED_VALUE"""),"Pantalla iPhone 14")</f>
        <v>Pantalla iPhone 14</v>
      </c>
      <c r="C2257" s="75">
        <f ca="1">IFERROR(__xludf.DUMMYFUNCTION("""COMPUTED_VALUE"""),1340)</f>
        <v>1340</v>
      </c>
      <c r="D2257" s="75">
        <f ca="1">IFERROR(__xludf.DUMMYFUNCTION("""COMPUTED_VALUE"""),150)</f>
        <v>150</v>
      </c>
      <c r="E2257" s="76">
        <f ca="1">IFERROR(__xludf.DUMMYFUNCTION("""COMPUTED_VALUE"""),1490)</f>
        <v>1490</v>
      </c>
      <c r="F2257" s="77">
        <f ca="1">IFERROR(__xludf.DUMMYFUNCTION("""COMPUTED_VALUE"""),10010522)</f>
        <v>10010522</v>
      </c>
      <c r="G2257" s="77" t="str">
        <f t="shared" ca="1" si="8"/>
        <v>si</v>
      </c>
    </row>
    <row r="2258" spans="1:7" ht="12.75" x14ac:dyDescent="0.2">
      <c r="A2258" s="62">
        <f ca="1">IFERROR(__xludf.DUMMYFUNCTION("""COMPUTED_VALUE"""),10010523)</f>
        <v>10010523</v>
      </c>
      <c r="B2258" s="62" t="str">
        <f ca="1">IFERROR(__xludf.DUMMYFUNCTION("""COMPUTED_VALUE"""),"Pantallas IPhone 14 Pro")</f>
        <v>Pantallas IPhone 14 Pro</v>
      </c>
      <c r="C2258" s="75">
        <f ca="1">IFERROR(__xludf.DUMMYFUNCTION("""COMPUTED_VALUE"""),1640)</f>
        <v>1640</v>
      </c>
      <c r="D2258" s="75">
        <f ca="1">IFERROR(__xludf.DUMMYFUNCTION("""COMPUTED_VALUE"""),150)</f>
        <v>150</v>
      </c>
      <c r="E2258" s="76">
        <f ca="1">IFERROR(__xludf.DUMMYFUNCTION("""COMPUTED_VALUE"""),1790)</f>
        <v>1790</v>
      </c>
      <c r="F2258" s="77">
        <f ca="1">IFERROR(__xludf.DUMMYFUNCTION("""COMPUTED_VALUE"""),10010523)</f>
        <v>10010523</v>
      </c>
      <c r="G2258" s="77" t="str">
        <f t="shared" ca="1" si="8"/>
        <v>si</v>
      </c>
    </row>
    <row r="2259" spans="1:7" ht="12.75" x14ac:dyDescent="0.2">
      <c r="A2259" s="62">
        <f ca="1">IFERROR(__xludf.DUMMYFUNCTION("""COMPUTED_VALUE"""),10010524)</f>
        <v>10010524</v>
      </c>
      <c r="B2259" s="62" t="str">
        <f ca="1">IFERROR(__xludf.DUMMYFUNCTION("""COMPUTED_VALUE"""),"Pantallas IPhone 14 pro max")</f>
        <v>Pantallas IPhone 14 pro max</v>
      </c>
      <c r="C2259" s="75">
        <f ca="1">IFERROR(__xludf.DUMMYFUNCTION("""COMPUTED_VALUE"""),1790)</f>
        <v>1790</v>
      </c>
      <c r="D2259" s="75">
        <f ca="1">IFERROR(__xludf.DUMMYFUNCTION("""COMPUTED_VALUE"""),200)</f>
        <v>200</v>
      </c>
      <c r="E2259" s="76">
        <f ca="1">IFERROR(__xludf.DUMMYFUNCTION("""COMPUTED_VALUE"""),1990)</f>
        <v>1990</v>
      </c>
      <c r="F2259" s="77">
        <f ca="1">IFERROR(__xludf.DUMMYFUNCTION("""COMPUTED_VALUE"""),10010524)</f>
        <v>10010524</v>
      </c>
      <c r="G2259" s="77" t="str">
        <f t="shared" ca="1" si="8"/>
        <v>si</v>
      </c>
    </row>
    <row r="2260" spans="1:7" ht="12.75" x14ac:dyDescent="0.2">
      <c r="A2260" s="62">
        <f ca="1">IFERROR(__xludf.DUMMYFUNCTION("""COMPUTED_VALUE"""),10040058)</f>
        <v>10040058</v>
      </c>
      <c r="B2260" s="62" t="str">
        <f ca="1">IFERROR(__xludf.DUMMYFUNCTION("""COMPUTED_VALUE"""),"Cover iPhone 13")</f>
        <v>Cover iPhone 13</v>
      </c>
      <c r="C2260" s="75">
        <f ca="1">IFERROR(__xludf.DUMMYFUNCTION("""COMPUTED_VALUE"""),400)</f>
        <v>400</v>
      </c>
      <c r="D2260" s="75">
        <f ca="1">IFERROR(__xludf.DUMMYFUNCTION("""COMPUTED_VALUE"""),150)</f>
        <v>150</v>
      </c>
      <c r="E2260" s="76">
        <f ca="1">IFERROR(__xludf.DUMMYFUNCTION("""COMPUTED_VALUE"""),550)</f>
        <v>550</v>
      </c>
      <c r="F2260" s="77">
        <f ca="1">IFERROR(__xludf.DUMMYFUNCTION("""COMPUTED_VALUE"""),10040058)</f>
        <v>10040058</v>
      </c>
      <c r="G2260" s="77" t="str">
        <f t="shared" ca="1" si="8"/>
        <v>si</v>
      </c>
    </row>
    <row r="2261" spans="1:7" ht="12.75" x14ac:dyDescent="0.2">
      <c r="A2261" s="62">
        <f ca="1">IFERROR(__xludf.DUMMYFUNCTION("""COMPUTED_VALUE"""),10040059)</f>
        <v>10040059</v>
      </c>
      <c r="B2261" s="62" t="str">
        <f ca="1">IFERROR(__xludf.DUMMYFUNCTION("""COMPUTED_VALUE"""),"Cover iphone 13 pro")</f>
        <v>Cover iphone 13 pro</v>
      </c>
      <c r="C2261" s="75">
        <f ca="1">IFERROR(__xludf.DUMMYFUNCTION("""COMPUTED_VALUE"""),450)</f>
        <v>450</v>
      </c>
      <c r="D2261" s="75">
        <f ca="1">IFERROR(__xludf.DUMMYFUNCTION("""COMPUTED_VALUE"""),150)</f>
        <v>150</v>
      </c>
      <c r="E2261" s="76">
        <f ca="1">IFERROR(__xludf.DUMMYFUNCTION("""COMPUTED_VALUE"""),600)</f>
        <v>600</v>
      </c>
      <c r="F2261" s="77">
        <f ca="1">IFERROR(__xludf.DUMMYFUNCTION("""COMPUTED_VALUE"""),10040059)</f>
        <v>10040059</v>
      </c>
      <c r="G2261" s="77" t="str">
        <f t="shared" ca="1" si="8"/>
        <v>si</v>
      </c>
    </row>
    <row r="2262" spans="1:7" ht="12.75" x14ac:dyDescent="0.2">
      <c r="A2262" s="62">
        <f ca="1">IFERROR(__xludf.DUMMYFUNCTION("""COMPUTED_VALUE"""),10040060)</f>
        <v>10040060</v>
      </c>
      <c r="B2262" s="62" t="str">
        <f ca="1">IFERROR(__xludf.DUMMYFUNCTION("""COMPUTED_VALUE"""),"Cover iPhone 13 pro max")</f>
        <v>Cover iPhone 13 pro max</v>
      </c>
      <c r="C2262" s="75">
        <f ca="1">IFERROR(__xludf.DUMMYFUNCTION("""COMPUTED_VALUE"""),500)</f>
        <v>500</v>
      </c>
      <c r="D2262" s="75">
        <f ca="1">IFERROR(__xludf.DUMMYFUNCTION("""COMPUTED_VALUE"""),150)</f>
        <v>150</v>
      </c>
      <c r="E2262" s="76">
        <f ca="1">IFERROR(__xludf.DUMMYFUNCTION("""COMPUTED_VALUE"""),650)</f>
        <v>650</v>
      </c>
      <c r="F2262" s="77">
        <f ca="1">IFERROR(__xludf.DUMMYFUNCTION("""COMPUTED_VALUE"""),10040060)</f>
        <v>10040060</v>
      </c>
      <c r="G2262" s="77" t="str">
        <f t="shared" ca="1" si="8"/>
        <v>si</v>
      </c>
    </row>
    <row r="2263" spans="1:7" ht="12.75" x14ac:dyDescent="0.2">
      <c r="A2263" s="62">
        <f ca="1">IFERROR(__xludf.DUMMYFUNCTION("""COMPUTED_VALUE"""),10040061)</f>
        <v>10040061</v>
      </c>
      <c r="B2263" s="62" t="str">
        <f ca="1">IFERROR(__xludf.DUMMYFUNCTION("""COMPUTED_VALUE"""),"Cover iphone 14")</f>
        <v>Cover iphone 14</v>
      </c>
      <c r="C2263" s="75">
        <f ca="1">IFERROR(__xludf.DUMMYFUNCTION("""COMPUTED_VALUE"""),990)</f>
        <v>990</v>
      </c>
      <c r="D2263" s="75">
        <f ca="1">IFERROR(__xludf.DUMMYFUNCTION("""COMPUTED_VALUE"""),150)</f>
        <v>150</v>
      </c>
      <c r="E2263" s="76">
        <f ca="1">IFERROR(__xludf.DUMMYFUNCTION("""COMPUTED_VALUE"""),1140)</f>
        <v>1140</v>
      </c>
      <c r="F2263" s="77">
        <f ca="1">IFERROR(__xludf.DUMMYFUNCTION("""COMPUTED_VALUE"""),10040061)</f>
        <v>10040061</v>
      </c>
      <c r="G2263" s="77" t="str">
        <f t="shared" ca="1" si="8"/>
        <v>si</v>
      </c>
    </row>
    <row r="2264" spans="1:7" ht="12.75" x14ac:dyDescent="0.2">
      <c r="A2264" s="62">
        <f ca="1">IFERROR(__xludf.DUMMYFUNCTION("""COMPUTED_VALUE"""),10040062)</f>
        <v>10040062</v>
      </c>
      <c r="B2264" s="62" t="str">
        <f ca="1">IFERROR(__xludf.DUMMYFUNCTION("""COMPUTED_VALUE"""),"Cover iphone 14 pro")</f>
        <v>Cover iphone 14 pro</v>
      </c>
      <c r="C2264" s="75">
        <f ca="1">IFERROR(__xludf.DUMMYFUNCTION("""COMPUTED_VALUE"""),1190)</f>
        <v>1190</v>
      </c>
      <c r="D2264" s="75">
        <f ca="1">IFERROR(__xludf.DUMMYFUNCTION("""COMPUTED_VALUE"""),150)</f>
        <v>150</v>
      </c>
      <c r="E2264" s="76">
        <f ca="1">IFERROR(__xludf.DUMMYFUNCTION("""COMPUTED_VALUE"""),1340)</f>
        <v>1340</v>
      </c>
      <c r="F2264" s="77">
        <f ca="1">IFERROR(__xludf.DUMMYFUNCTION("""COMPUTED_VALUE"""),10040062)</f>
        <v>10040062</v>
      </c>
      <c r="G2264" s="77" t="str">
        <f t="shared" ca="1" si="8"/>
        <v>si</v>
      </c>
    </row>
    <row r="2265" spans="1:7" ht="12.75" x14ac:dyDescent="0.2">
      <c r="A2265" s="62">
        <f ca="1">IFERROR(__xludf.DUMMYFUNCTION("""COMPUTED_VALUE"""),10040063)</f>
        <v>10040063</v>
      </c>
      <c r="B2265" s="62" t="str">
        <f ca="1">IFERROR(__xludf.DUMMYFUNCTION("""COMPUTED_VALUE"""),"Cover iphone 14 pro max")</f>
        <v>Cover iphone 14 pro max</v>
      </c>
      <c r="C2265" s="75">
        <f ca="1">IFERROR(__xludf.DUMMYFUNCTION("""COMPUTED_VALUE"""),1290)</f>
        <v>1290</v>
      </c>
      <c r="D2265" s="75">
        <f ca="1">IFERROR(__xludf.DUMMYFUNCTION("""COMPUTED_VALUE"""),200)</f>
        <v>200</v>
      </c>
      <c r="E2265" s="76">
        <f ca="1">IFERROR(__xludf.DUMMYFUNCTION("""COMPUTED_VALUE"""),1490)</f>
        <v>1490</v>
      </c>
      <c r="F2265" s="77">
        <f ca="1">IFERROR(__xludf.DUMMYFUNCTION("""COMPUTED_VALUE"""),10040063)</f>
        <v>10040063</v>
      </c>
      <c r="G2265" s="77" t="str">
        <f t="shared" ca="1" si="8"/>
        <v>si</v>
      </c>
    </row>
    <row r="2266" spans="1:7" ht="12.75" x14ac:dyDescent="0.2">
      <c r="A2266" s="62">
        <f ca="1">IFERROR(__xludf.DUMMYFUNCTION("""COMPUTED_VALUE"""),10040064)</f>
        <v>10040064</v>
      </c>
      <c r="B2266" s="62" t="str">
        <f ca="1">IFERROR(__xludf.DUMMYFUNCTION("""COMPUTED_VALUE"""),"Cover iphone 6G")</f>
        <v>Cover iphone 6G</v>
      </c>
      <c r="C2266" s="75">
        <f ca="1">IFERROR(__xludf.DUMMYFUNCTION("""COMPUTED_VALUE"""),80)</f>
        <v>80</v>
      </c>
      <c r="D2266" s="75">
        <f ca="1">IFERROR(__xludf.DUMMYFUNCTION("""COMPUTED_VALUE"""),50)</f>
        <v>50</v>
      </c>
      <c r="E2266" s="76">
        <f ca="1">IFERROR(__xludf.DUMMYFUNCTION("""COMPUTED_VALUE"""),130)</f>
        <v>130</v>
      </c>
      <c r="F2266" s="77">
        <f ca="1">IFERROR(__xludf.DUMMYFUNCTION("""COMPUTED_VALUE"""),10040064)</f>
        <v>10040064</v>
      </c>
      <c r="G2266" s="77" t="str">
        <f t="shared" ca="1" si="8"/>
        <v>si</v>
      </c>
    </row>
    <row r="2267" spans="1:7" ht="12.75" x14ac:dyDescent="0.2">
      <c r="A2267" s="62"/>
      <c r="B2267" s="62"/>
      <c r="C2267" s="62"/>
      <c r="D2267" s="62"/>
      <c r="E2267" s="76">
        <f ca="1">IFERROR(__xludf.DUMMYFUNCTION("""COMPUTED_VALUE"""),0)</f>
        <v>0</v>
      </c>
      <c r="F2267" s="77"/>
      <c r="G2267" s="77" t="str">
        <f t="shared" si="8"/>
        <v>si</v>
      </c>
    </row>
    <row r="2268" spans="1:7" ht="12.75" x14ac:dyDescent="0.2">
      <c r="A2268" s="62"/>
      <c r="B2268" s="62"/>
      <c r="C2268" s="62"/>
      <c r="D2268" s="62"/>
      <c r="E2268" s="76">
        <f ca="1">IFERROR(__xludf.DUMMYFUNCTION("""COMPUTED_VALUE"""),0)</f>
        <v>0</v>
      </c>
      <c r="F2268" s="77"/>
      <c r="G2268" s="77" t="str">
        <f t="shared" si="8"/>
        <v>si</v>
      </c>
    </row>
    <row r="2269" spans="1:7" ht="12.75" x14ac:dyDescent="0.2">
      <c r="A2269" s="62"/>
      <c r="B2269" s="62"/>
      <c r="C2269" s="62"/>
      <c r="D2269" s="62"/>
      <c r="E2269" s="76">
        <f ca="1">IFERROR(__xludf.DUMMYFUNCTION("""COMPUTED_VALUE"""),0)</f>
        <v>0</v>
      </c>
      <c r="F2269" s="77"/>
      <c r="G2269" s="77" t="str">
        <f t="shared" si="8"/>
        <v>si</v>
      </c>
    </row>
    <row r="2270" spans="1:7" ht="12.75" x14ac:dyDescent="0.2">
      <c r="A2270" s="62"/>
      <c r="B2270" s="62"/>
      <c r="C2270" s="62"/>
      <c r="D2270" s="62"/>
      <c r="E2270" s="76">
        <f ca="1">IFERROR(__xludf.DUMMYFUNCTION("""COMPUTED_VALUE"""),0)</f>
        <v>0</v>
      </c>
      <c r="F2270" s="77"/>
      <c r="G2270" s="77" t="str">
        <f t="shared" si="8"/>
        <v>si</v>
      </c>
    </row>
    <row r="2271" spans="1:7" ht="12.75" x14ac:dyDescent="0.2">
      <c r="A2271" s="62"/>
      <c r="B2271" s="62"/>
      <c r="C2271" s="62"/>
      <c r="D2271" s="62"/>
      <c r="E2271" s="76">
        <f ca="1">IFERROR(__xludf.DUMMYFUNCTION("""COMPUTED_VALUE"""),0)</f>
        <v>0</v>
      </c>
      <c r="F2271" s="77"/>
      <c r="G2271" s="77" t="str">
        <f t="shared" si="8"/>
        <v>si</v>
      </c>
    </row>
    <row r="2272" spans="1:7" ht="12.75" x14ac:dyDescent="0.2">
      <c r="A2272" s="62"/>
      <c r="B2272" s="62"/>
      <c r="C2272" s="62"/>
      <c r="D2272" s="62"/>
      <c r="E2272" s="76">
        <f ca="1">IFERROR(__xludf.DUMMYFUNCTION("""COMPUTED_VALUE"""),0)</f>
        <v>0</v>
      </c>
      <c r="F2272" s="77"/>
      <c r="G2272" s="77" t="str">
        <f t="shared" si="8"/>
        <v>si</v>
      </c>
    </row>
    <row r="2273" spans="1:7" ht="12.75" x14ac:dyDescent="0.2">
      <c r="A2273" s="62"/>
      <c r="B2273" s="62"/>
      <c r="C2273" s="62"/>
      <c r="D2273" s="62"/>
      <c r="E2273" s="76">
        <f ca="1">IFERROR(__xludf.DUMMYFUNCTION("""COMPUTED_VALUE"""),0)</f>
        <v>0</v>
      </c>
      <c r="F2273" s="77"/>
      <c r="G2273" s="77" t="str">
        <f t="shared" si="8"/>
        <v>si</v>
      </c>
    </row>
    <row r="2274" spans="1:7" ht="12.75" x14ac:dyDescent="0.2">
      <c r="A2274" s="62"/>
      <c r="B2274" s="62"/>
      <c r="C2274" s="62"/>
      <c r="D2274" s="62"/>
      <c r="E2274" s="76">
        <f ca="1">IFERROR(__xludf.DUMMYFUNCTION("""COMPUTED_VALUE"""),0)</f>
        <v>0</v>
      </c>
      <c r="F2274" s="77"/>
      <c r="G2274" s="77" t="str">
        <f t="shared" si="8"/>
        <v>si</v>
      </c>
    </row>
    <row r="2275" spans="1:7" ht="12.75" x14ac:dyDescent="0.2">
      <c r="A2275" s="62"/>
      <c r="B2275" s="62"/>
      <c r="C2275" s="62"/>
      <c r="D2275" s="62"/>
      <c r="E2275" s="76">
        <f ca="1">IFERROR(__xludf.DUMMYFUNCTION("""COMPUTED_VALUE"""),0)</f>
        <v>0</v>
      </c>
      <c r="F2275" s="77"/>
      <c r="G2275" s="77" t="str">
        <f t="shared" si="8"/>
        <v>si</v>
      </c>
    </row>
    <row r="2276" spans="1:7" ht="12.75" x14ac:dyDescent="0.2">
      <c r="A2276" s="62"/>
      <c r="B2276" s="62"/>
      <c r="C2276" s="62"/>
      <c r="D2276" s="62"/>
      <c r="E2276" s="76">
        <f ca="1">IFERROR(__xludf.DUMMYFUNCTION("""COMPUTED_VALUE"""),0)</f>
        <v>0</v>
      </c>
      <c r="F2276" s="77"/>
      <c r="G2276" s="77" t="str">
        <f t="shared" si="8"/>
        <v>si</v>
      </c>
    </row>
    <row r="2277" spans="1:7" ht="12.75" x14ac:dyDescent="0.2">
      <c r="A2277" s="62"/>
      <c r="B2277" s="62"/>
      <c r="C2277" s="62"/>
      <c r="D2277" s="62"/>
      <c r="E2277" s="76">
        <f ca="1">IFERROR(__xludf.DUMMYFUNCTION("""COMPUTED_VALUE"""),0)</f>
        <v>0</v>
      </c>
      <c r="F2277" s="77"/>
      <c r="G2277" s="77" t="str">
        <f t="shared" si="8"/>
        <v>si</v>
      </c>
    </row>
    <row r="2278" spans="1:7" ht="12.75" x14ac:dyDescent="0.2">
      <c r="A2278" s="62"/>
      <c r="B2278" s="62"/>
      <c r="C2278" s="62"/>
      <c r="D2278" s="62"/>
      <c r="E2278" s="76">
        <f ca="1">IFERROR(__xludf.DUMMYFUNCTION("""COMPUTED_VALUE"""),0)</f>
        <v>0</v>
      </c>
      <c r="F2278" s="77"/>
      <c r="G2278" s="77" t="str">
        <f t="shared" si="8"/>
        <v>si</v>
      </c>
    </row>
    <row r="2279" spans="1:7" ht="12.75" x14ac:dyDescent="0.2">
      <c r="A2279" s="62"/>
      <c r="B2279" s="62"/>
      <c r="C2279" s="62"/>
      <c r="D2279" s="62"/>
      <c r="E2279" s="76">
        <f ca="1">IFERROR(__xludf.DUMMYFUNCTION("""COMPUTED_VALUE"""),0)</f>
        <v>0</v>
      </c>
      <c r="F2279" s="77"/>
      <c r="G2279" s="77" t="str">
        <f t="shared" si="8"/>
        <v>si</v>
      </c>
    </row>
    <row r="2280" spans="1:7" ht="12.75" x14ac:dyDescent="0.2">
      <c r="A2280" s="62"/>
      <c r="B2280" s="62"/>
      <c r="C2280" s="62"/>
      <c r="D2280" s="62"/>
      <c r="E2280" s="76">
        <f ca="1">IFERROR(__xludf.DUMMYFUNCTION("""COMPUTED_VALUE"""),0)</f>
        <v>0</v>
      </c>
      <c r="F2280" s="77"/>
      <c r="G2280" s="77" t="str">
        <f t="shared" si="8"/>
        <v>si</v>
      </c>
    </row>
    <row r="2281" spans="1:7" ht="12.75" x14ac:dyDescent="0.2">
      <c r="A2281" s="62"/>
      <c r="B2281" s="62"/>
      <c r="C2281" s="62"/>
      <c r="D2281" s="62"/>
      <c r="E2281" s="76">
        <f ca="1">IFERROR(__xludf.DUMMYFUNCTION("""COMPUTED_VALUE"""),0)</f>
        <v>0</v>
      </c>
      <c r="F2281" s="77"/>
      <c r="G2281" s="77" t="str">
        <f t="shared" si="8"/>
        <v>si</v>
      </c>
    </row>
    <row r="2282" spans="1:7" ht="12.75" x14ac:dyDescent="0.2">
      <c r="A2282" s="62"/>
      <c r="B2282" s="62"/>
      <c r="C2282" s="62"/>
      <c r="D2282" s="62"/>
      <c r="E2282" s="76">
        <f ca="1">IFERROR(__xludf.DUMMYFUNCTION("""COMPUTED_VALUE"""),0)</f>
        <v>0</v>
      </c>
      <c r="F2282" s="77"/>
      <c r="G2282" s="77" t="str">
        <f t="shared" si="8"/>
        <v>si</v>
      </c>
    </row>
    <row r="2283" spans="1:7" ht="12.75" x14ac:dyDescent="0.2">
      <c r="A2283" s="62"/>
      <c r="B2283" s="62"/>
      <c r="C2283" s="62"/>
      <c r="D2283" s="62"/>
      <c r="E2283" s="76">
        <f ca="1">IFERROR(__xludf.DUMMYFUNCTION("""COMPUTED_VALUE"""),0)</f>
        <v>0</v>
      </c>
      <c r="F2283" s="77"/>
      <c r="G2283" s="77" t="str">
        <f t="shared" si="8"/>
        <v>si</v>
      </c>
    </row>
    <row r="2284" spans="1:7" ht="12.75" x14ac:dyDescent="0.2">
      <c r="A2284" s="62"/>
      <c r="B2284" s="62"/>
      <c r="C2284" s="62"/>
      <c r="D2284" s="62"/>
      <c r="E2284" s="76">
        <f ca="1">IFERROR(__xludf.DUMMYFUNCTION("""COMPUTED_VALUE"""),0)</f>
        <v>0</v>
      </c>
      <c r="F2284" s="77"/>
      <c r="G2284" s="77" t="str">
        <f t="shared" si="8"/>
        <v>si</v>
      </c>
    </row>
    <row r="2285" spans="1:7" ht="12.75" x14ac:dyDescent="0.2">
      <c r="A2285" s="62"/>
      <c r="B2285" s="62"/>
      <c r="C2285" s="62"/>
      <c r="D2285" s="62"/>
      <c r="E2285" s="76">
        <f ca="1">IFERROR(__xludf.DUMMYFUNCTION("""COMPUTED_VALUE"""),0)</f>
        <v>0</v>
      </c>
      <c r="F2285" s="77"/>
      <c r="G2285" s="77" t="str">
        <f t="shared" si="8"/>
        <v>si</v>
      </c>
    </row>
    <row r="2286" spans="1:7" ht="12.75" x14ac:dyDescent="0.2">
      <c r="A2286" s="62"/>
      <c r="B2286" s="62"/>
      <c r="C2286" s="62"/>
      <c r="D2286" s="62"/>
      <c r="E2286" s="76">
        <f ca="1">IFERROR(__xludf.DUMMYFUNCTION("""COMPUTED_VALUE"""),0)</f>
        <v>0</v>
      </c>
      <c r="F2286" s="77"/>
      <c r="G2286" s="77" t="str">
        <f t="shared" si="8"/>
        <v>si</v>
      </c>
    </row>
    <row r="2287" spans="1:7" ht="12.75" x14ac:dyDescent="0.2">
      <c r="A2287" s="62"/>
      <c r="B2287" s="62"/>
      <c r="C2287" s="62"/>
      <c r="D2287" s="62"/>
      <c r="E2287" s="76">
        <f ca="1">IFERROR(__xludf.DUMMYFUNCTION("""COMPUTED_VALUE"""),0)</f>
        <v>0</v>
      </c>
      <c r="F2287" s="77"/>
      <c r="G2287" s="77" t="str">
        <f t="shared" si="8"/>
        <v>si</v>
      </c>
    </row>
    <row r="2288" spans="1:7" ht="12.75" x14ac:dyDescent="0.2">
      <c r="A2288" s="62"/>
      <c r="B2288" s="62"/>
      <c r="C2288" s="62"/>
      <c r="D2288" s="62"/>
      <c r="E2288" s="76">
        <f ca="1">IFERROR(__xludf.DUMMYFUNCTION("""COMPUTED_VALUE"""),0)</f>
        <v>0</v>
      </c>
      <c r="F2288" s="77"/>
      <c r="G2288" s="77" t="str">
        <f t="shared" si="8"/>
        <v>si</v>
      </c>
    </row>
    <row r="2289" spans="1:7" ht="12.75" x14ac:dyDescent="0.2">
      <c r="A2289" s="62"/>
      <c r="B2289" s="62"/>
      <c r="C2289" s="62"/>
      <c r="D2289" s="62"/>
      <c r="E2289" s="76">
        <f ca="1">IFERROR(__xludf.DUMMYFUNCTION("""COMPUTED_VALUE"""),0)</f>
        <v>0</v>
      </c>
      <c r="F2289" s="77"/>
      <c r="G2289" s="77" t="str">
        <f t="shared" si="8"/>
        <v>si</v>
      </c>
    </row>
    <row r="2290" spans="1:7" ht="12.75" x14ac:dyDescent="0.2">
      <c r="A2290" s="62"/>
      <c r="B2290" s="62"/>
      <c r="C2290" s="62"/>
      <c r="D2290" s="62"/>
      <c r="E2290" s="76">
        <f ca="1">IFERROR(__xludf.DUMMYFUNCTION("""COMPUTED_VALUE"""),0)</f>
        <v>0</v>
      </c>
      <c r="F2290" s="77"/>
      <c r="G2290" s="77" t="str">
        <f t="shared" si="8"/>
        <v>si</v>
      </c>
    </row>
    <row r="2291" spans="1:7" ht="12.75" x14ac:dyDescent="0.2">
      <c r="A2291" s="62"/>
      <c r="B2291" s="62"/>
      <c r="C2291" s="62"/>
      <c r="D2291" s="62"/>
      <c r="E2291" s="76">
        <f ca="1">IFERROR(__xludf.DUMMYFUNCTION("""COMPUTED_VALUE"""),0)</f>
        <v>0</v>
      </c>
      <c r="F2291" s="77"/>
      <c r="G2291" s="77" t="str">
        <f t="shared" si="8"/>
        <v>si</v>
      </c>
    </row>
    <row r="2292" spans="1:7" ht="12.75" x14ac:dyDescent="0.2">
      <c r="A2292" s="62"/>
      <c r="B2292" s="62"/>
      <c r="C2292" s="62"/>
      <c r="D2292" s="62"/>
      <c r="E2292" s="76">
        <f ca="1">IFERROR(__xludf.DUMMYFUNCTION("""COMPUTED_VALUE"""),0)</f>
        <v>0</v>
      </c>
      <c r="F2292" s="77"/>
      <c r="G2292" s="77" t="str">
        <f t="shared" si="8"/>
        <v>si</v>
      </c>
    </row>
    <row r="2293" spans="1:7" ht="12.75" x14ac:dyDescent="0.2">
      <c r="A2293" s="62"/>
      <c r="B2293" s="62"/>
      <c r="C2293" s="62"/>
      <c r="D2293" s="62"/>
      <c r="E2293" s="76">
        <f ca="1">IFERROR(__xludf.DUMMYFUNCTION("""COMPUTED_VALUE"""),0)</f>
        <v>0</v>
      </c>
      <c r="F2293" s="77"/>
      <c r="G2293" s="77" t="str">
        <f t="shared" si="8"/>
        <v>si</v>
      </c>
    </row>
    <row r="2294" spans="1:7" ht="12.75" x14ac:dyDescent="0.2">
      <c r="A2294" s="62"/>
      <c r="B2294" s="62"/>
      <c r="C2294" s="62"/>
      <c r="D2294" s="62"/>
      <c r="E2294" s="76">
        <f ca="1">IFERROR(__xludf.DUMMYFUNCTION("""COMPUTED_VALUE"""),0)</f>
        <v>0</v>
      </c>
      <c r="F2294" s="77"/>
      <c r="G2294" s="77" t="str">
        <f t="shared" si="8"/>
        <v>si</v>
      </c>
    </row>
    <row r="2295" spans="1:7" ht="12.75" x14ac:dyDescent="0.2">
      <c r="A2295" s="62"/>
      <c r="B2295" s="62"/>
      <c r="C2295" s="62"/>
      <c r="D2295" s="62"/>
      <c r="E2295" s="76">
        <f ca="1">IFERROR(__xludf.DUMMYFUNCTION("""COMPUTED_VALUE"""),0)</f>
        <v>0</v>
      </c>
      <c r="F2295" s="77"/>
      <c r="G2295" s="77" t="str">
        <f t="shared" si="8"/>
        <v>si</v>
      </c>
    </row>
    <row r="2296" spans="1:7" ht="12.75" x14ac:dyDescent="0.2">
      <c r="A2296" s="62"/>
      <c r="B2296" s="62"/>
      <c r="C2296" s="62"/>
      <c r="D2296" s="62"/>
      <c r="E2296" s="76">
        <f ca="1">IFERROR(__xludf.DUMMYFUNCTION("""COMPUTED_VALUE"""),0)</f>
        <v>0</v>
      </c>
      <c r="F2296" s="77"/>
      <c r="G2296" s="77" t="str">
        <f t="shared" si="8"/>
        <v>si</v>
      </c>
    </row>
    <row r="2297" spans="1:7" ht="12.75" x14ac:dyDescent="0.2">
      <c r="A2297" s="62"/>
      <c r="B2297" s="62"/>
      <c r="C2297" s="62"/>
      <c r="D2297" s="62"/>
      <c r="E2297" s="76">
        <f ca="1">IFERROR(__xludf.DUMMYFUNCTION("""COMPUTED_VALUE"""),0)</f>
        <v>0</v>
      </c>
      <c r="F2297" s="77"/>
      <c r="G2297" s="77" t="str">
        <f t="shared" ref="G2297:G2423" si="9">IF(F2297=A2297,"si","no")</f>
        <v>si</v>
      </c>
    </row>
    <row r="2298" spans="1:7" ht="12.75" x14ac:dyDescent="0.2">
      <c r="A2298" s="62">
        <f ca="1">IFERROR(__xludf.DUMMYFUNCTION("""COMPUTED_VALUE"""),10090012)</f>
        <v>10090012</v>
      </c>
      <c r="B2298" s="62" t="str">
        <f ca="1">IFERROR(__xludf.DUMMYFUNCTION("""COMPUTED_VALUE"""),"Memoria 512GB iPad Mini 4/5")</f>
        <v>Memoria 512GB iPad Mini 4/5</v>
      </c>
      <c r="C2298" s="75">
        <f ca="1">IFERROR(__xludf.DUMMYFUNCTION("""COMPUTED_VALUE"""),290)</f>
        <v>290</v>
      </c>
      <c r="D2298" s="75">
        <f ca="1">IFERROR(__xludf.DUMMYFUNCTION("""COMPUTED_VALUE"""),100)</f>
        <v>100</v>
      </c>
      <c r="E2298" s="76">
        <f ca="1">IFERROR(__xludf.DUMMYFUNCTION("""COMPUTED_VALUE"""),390)</f>
        <v>390</v>
      </c>
      <c r="F2298" s="77">
        <f ca="1">IFERROR(__xludf.DUMMYFUNCTION("""COMPUTED_VALUE"""),10090012)</f>
        <v>10090012</v>
      </c>
      <c r="G2298" s="77" t="str">
        <f t="shared" ca="1" si="9"/>
        <v>si</v>
      </c>
    </row>
    <row r="2299" spans="1:7" ht="12.75" x14ac:dyDescent="0.2">
      <c r="A2299" s="62">
        <f ca="1">IFERROR(__xludf.DUMMYFUNCTION("""COMPUTED_VALUE"""),10090013)</f>
        <v>10090013</v>
      </c>
      <c r="B2299" s="62" t="str">
        <f ca="1">IFERROR(__xludf.DUMMYFUNCTION("""COMPUTED_VALUE"""),"Memoria 512GB iPad Pro 9.7")</f>
        <v>Memoria 512GB iPad Pro 9.7</v>
      </c>
      <c r="C2299" s="75">
        <f ca="1">IFERROR(__xludf.DUMMYFUNCTION("""COMPUTED_VALUE"""),290)</f>
        <v>290</v>
      </c>
      <c r="D2299" s="75">
        <f ca="1">IFERROR(__xludf.DUMMYFUNCTION("""COMPUTED_VALUE"""),100)</f>
        <v>100</v>
      </c>
      <c r="E2299" s="76">
        <f ca="1">IFERROR(__xludf.DUMMYFUNCTION("""COMPUTED_VALUE"""),390)</f>
        <v>390</v>
      </c>
      <c r="F2299" s="77">
        <f ca="1">IFERROR(__xludf.DUMMYFUNCTION("""COMPUTED_VALUE"""),10090013)</f>
        <v>10090013</v>
      </c>
      <c r="G2299" s="77" t="str">
        <f t="shared" ca="1" si="9"/>
        <v>si</v>
      </c>
    </row>
    <row r="2300" spans="1:7" ht="12.75" x14ac:dyDescent="0.2">
      <c r="A2300" s="62">
        <f ca="1">IFERROR(__xludf.DUMMYFUNCTION("""COMPUTED_VALUE"""),10090014)</f>
        <v>10090014</v>
      </c>
      <c r="B2300" s="62" t="str">
        <f ca="1">IFERROR(__xludf.DUMMYFUNCTION("""COMPUTED_VALUE"""),"Memoria 512GB iPad Pro 10.5")</f>
        <v>Memoria 512GB iPad Pro 10.5</v>
      </c>
      <c r="C2300" s="75">
        <f ca="1">IFERROR(__xludf.DUMMYFUNCTION("""COMPUTED_VALUE"""),340)</f>
        <v>340</v>
      </c>
      <c r="D2300" s="75">
        <f ca="1">IFERROR(__xludf.DUMMYFUNCTION("""COMPUTED_VALUE"""),100)</f>
        <v>100</v>
      </c>
      <c r="E2300" s="76">
        <f ca="1">IFERROR(__xludf.DUMMYFUNCTION("""COMPUTED_VALUE"""),440)</f>
        <v>440</v>
      </c>
      <c r="F2300" s="77">
        <f ca="1">IFERROR(__xludf.DUMMYFUNCTION("""COMPUTED_VALUE"""),10090014)</f>
        <v>10090014</v>
      </c>
      <c r="G2300" s="77" t="str">
        <f t="shared" ca="1" si="9"/>
        <v>si</v>
      </c>
    </row>
    <row r="2301" spans="1:7" ht="12.75" x14ac:dyDescent="0.2">
      <c r="A2301" s="62">
        <f ca="1">IFERROR(__xludf.DUMMYFUNCTION("""COMPUTED_VALUE"""),10090015)</f>
        <v>10090015</v>
      </c>
      <c r="B2301" s="62" t="str">
        <f ca="1">IFERROR(__xludf.DUMMYFUNCTION("""COMPUTED_VALUE"""),"Memoria 512GB iPad Pro 11")</f>
        <v>Memoria 512GB iPad Pro 11</v>
      </c>
      <c r="C2301" s="75">
        <f ca="1">IFERROR(__xludf.DUMMYFUNCTION("""COMPUTED_VALUE"""),390)</f>
        <v>390</v>
      </c>
      <c r="D2301" s="75">
        <f ca="1">IFERROR(__xludf.DUMMYFUNCTION("""COMPUTED_VALUE"""),100)</f>
        <v>100</v>
      </c>
      <c r="E2301" s="76">
        <f ca="1">IFERROR(__xludf.DUMMYFUNCTION("""COMPUTED_VALUE"""),490)</f>
        <v>490</v>
      </c>
      <c r="F2301" s="77">
        <f ca="1">IFERROR(__xludf.DUMMYFUNCTION("""COMPUTED_VALUE"""),10090015)</f>
        <v>10090015</v>
      </c>
      <c r="G2301" s="77" t="str">
        <f t="shared" ca="1" si="9"/>
        <v>si</v>
      </c>
    </row>
    <row r="2302" spans="1:7" ht="12.75" x14ac:dyDescent="0.2">
      <c r="A2302" s="62">
        <f ca="1">IFERROR(__xludf.DUMMYFUNCTION("""COMPUTED_VALUE"""),10090016)</f>
        <v>10090016</v>
      </c>
      <c r="B2302" s="62" t="str">
        <f ca="1">IFERROR(__xludf.DUMMYFUNCTION("""COMPUTED_VALUE"""),"Memoria 512GB iPad 12.9")</f>
        <v>Memoria 512GB iPad 12.9</v>
      </c>
      <c r="C2302" s="75">
        <f ca="1">IFERROR(__xludf.DUMMYFUNCTION("""COMPUTED_VALUE"""),440)</f>
        <v>440</v>
      </c>
      <c r="D2302" s="75">
        <f ca="1">IFERROR(__xludf.DUMMYFUNCTION("""COMPUTED_VALUE"""),100)</f>
        <v>100</v>
      </c>
      <c r="E2302" s="76">
        <f ca="1">IFERROR(__xludf.DUMMYFUNCTION("""COMPUTED_VALUE"""),540)</f>
        <v>540</v>
      </c>
      <c r="F2302" s="77">
        <f ca="1">IFERROR(__xludf.DUMMYFUNCTION("""COMPUTED_VALUE"""),10090016)</f>
        <v>10090016</v>
      </c>
      <c r="G2302" s="77" t="str">
        <f t="shared" ca="1" si="9"/>
        <v>si</v>
      </c>
    </row>
    <row r="2303" spans="1:7" ht="12.75" x14ac:dyDescent="0.2">
      <c r="A2303" s="62">
        <f ca="1">IFERROR(__xludf.DUMMYFUNCTION("""COMPUTED_VALUE"""),10090017)</f>
        <v>10090017</v>
      </c>
      <c r="B2303" s="62" t="str">
        <f ca="1">IFERROR(__xludf.DUMMYFUNCTION("""COMPUTED_VALUE"""),"Memoria 512GB iPad 7ma/8va/9na")</f>
        <v>Memoria 512GB iPad 7ma/8va/9na</v>
      </c>
      <c r="C2303" s="75">
        <f ca="1">IFERROR(__xludf.DUMMYFUNCTION("""COMPUTED_VALUE"""),290)</f>
        <v>290</v>
      </c>
      <c r="D2303" s="75">
        <f ca="1">IFERROR(__xludf.DUMMYFUNCTION("""COMPUTED_VALUE"""),100)</f>
        <v>100</v>
      </c>
      <c r="E2303" s="76">
        <f ca="1">IFERROR(__xludf.DUMMYFUNCTION("""COMPUTED_VALUE"""),390)</f>
        <v>390</v>
      </c>
      <c r="F2303" s="77">
        <f ca="1">IFERROR(__xludf.DUMMYFUNCTION("""COMPUTED_VALUE"""),10090017)</f>
        <v>10090017</v>
      </c>
      <c r="G2303" s="77" t="str">
        <f t="shared" ca="1" si="9"/>
        <v>si</v>
      </c>
    </row>
    <row r="2304" spans="1:7" ht="12.75" x14ac:dyDescent="0.2">
      <c r="A2304" s="62">
        <f ca="1">IFERROR(__xludf.DUMMYFUNCTION("""COMPUTED_VALUE"""),10090018)</f>
        <v>10090018</v>
      </c>
      <c r="B2304" s="62" t="str">
        <f ca="1">IFERROR(__xludf.DUMMYFUNCTION("""COMPUTED_VALUE"""),"Memoria 512GB iPad Air 3")</f>
        <v>Memoria 512GB iPad Air 3</v>
      </c>
      <c r="C2304" s="75">
        <f ca="1">IFERROR(__xludf.DUMMYFUNCTION("""COMPUTED_VALUE"""),340)</f>
        <v>340</v>
      </c>
      <c r="D2304" s="75">
        <f ca="1">IFERROR(__xludf.DUMMYFUNCTION("""COMPUTED_VALUE"""),100)</f>
        <v>100</v>
      </c>
      <c r="E2304" s="76">
        <f ca="1">IFERROR(__xludf.DUMMYFUNCTION("""COMPUTED_VALUE"""),440)</f>
        <v>440</v>
      </c>
      <c r="F2304" s="77">
        <f ca="1">IFERROR(__xludf.DUMMYFUNCTION("""COMPUTED_VALUE"""),10090018)</f>
        <v>10090018</v>
      </c>
      <c r="G2304" s="77" t="str">
        <f t="shared" ca="1" si="9"/>
        <v>si</v>
      </c>
    </row>
    <row r="2305" spans="1:7" ht="12.75" x14ac:dyDescent="0.2">
      <c r="A2305" s="62">
        <f ca="1">IFERROR(__xludf.DUMMYFUNCTION("""COMPUTED_VALUE"""),10090019)</f>
        <v>10090019</v>
      </c>
      <c r="B2305" s="62" t="str">
        <f ca="1">IFERROR(__xludf.DUMMYFUNCTION("""COMPUTED_VALUE"""),"Memoria 512GB iPad Air 4")</f>
        <v>Memoria 512GB iPad Air 4</v>
      </c>
      <c r="C2305" s="75">
        <f ca="1">IFERROR(__xludf.DUMMYFUNCTION("""COMPUTED_VALUE"""),440)</f>
        <v>440</v>
      </c>
      <c r="D2305" s="75">
        <f ca="1">IFERROR(__xludf.DUMMYFUNCTION("""COMPUTED_VALUE"""),100)</f>
        <v>100</v>
      </c>
      <c r="E2305" s="76">
        <f ca="1">IFERROR(__xludf.DUMMYFUNCTION("""COMPUTED_VALUE"""),540)</f>
        <v>540</v>
      </c>
      <c r="F2305" s="77">
        <f ca="1">IFERROR(__xludf.DUMMYFUNCTION("""COMPUTED_VALUE"""),10090019)</f>
        <v>10090019</v>
      </c>
      <c r="G2305" s="77" t="str">
        <f t="shared" ca="1" si="9"/>
        <v>si</v>
      </c>
    </row>
    <row r="2306" spans="1:7" ht="12.75" x14ac:dyDescent="0.2">
      <c r="A2306" s="62">
        <f ca="1">IFERROR(__xludf.DUMMYFUNCTION("""COMPUTED_VALUE"""),10090020)</f>
        <v>10090020</v>
      </c>
      <c r="B2306" s="62" t="str">
        <f ca="1">IFERROR(__xludf.DUMMYFUNCTION("""COMPUTED_VALUE"""),"Memoria 1TB iPad Mini 4/5")</f>
        <v>Memoria 1TB iPad Mini 4/5</v>
      </c>
      <c r="C2306" s="75">
        <f ca="1">IFERROR(__xludf.DUMMYFUNCTION("""COMPUTED_VALUE"""),440)</f>
        <v>440</v>
      </c>
      <c r="D2306" s="75">
        <f ca="1">IFERROR(__xludf.DUMMYFUNCTION("""COMPUTED_VALUE"""),100)</f>
        <v>100</v>
      </c>
      <c r="E2306" s="76">
        <f ca="1">IFERROR(__xludf.DUMMYFUNCTION("""COMPUTED_VALUE"""),540)</f>
        <v>540</v>
      </c>
      <c r="F2306" s="77">
        <f ca="1">IFERROR(__xludf.DUMMYFUNCTION("""COMPUTED_VALUE"""),10090020)</f>
        <v>10090020</v>
      </c>
      <c r="G2306" s="77" t="str">
        <f t="shared" ca="1" si="9"/>
        <v>si</v>
      </c>
    </row>
    <row r="2307" spans="1:7" ht="12.75" x14ac:dyDescent="0.2">
      <c r="A2307" s="62">
        <f ca="1">IFERROR(__xludf.DUMMYFUNCTION("""COMPUTED_VALUE"""),10090021)</f>
        <v>10090021</v>
      </c>
      <c r="B2307" s="62" t="str">
        <f ca="1">IFERROR(__xludf.DUMMYFUNCTION("""COMPUTED_VALUE"""),"Memoria 1TB iPad Pro 9.7")</f>
        <v>Memoria 1TB iPad Pro 9.7</v>
      </c>
      <c r="C2307" s="75">
        <f ca="1">IFERROR(__xludf.DUMMYFUNCTION("""COMPUTED_VALUE"""),440)</f>
        <v>440</v>
      </c>
      <c r="D2307" s="75">
        <f ca="1">IFERROR(__xludf.DUMMYFUNCTION("""COMPUTED_VALUE"""),100)</f>
        <v>100</v>
      </c>
      <c r="E2307" s="76">
        <f ca="1">IFERROR(__xludf.DUMMYFUNCTION("""COMPUTED_VALUE"""),540)</f>
        <v>540</v>
      </c>
      <c r="F2307" s="77">
        <f ca="1">IFERROR(__xludf.DUMMYFUNCTION("""COMPUTED_VALUE"""),10090021)</f>
        <v>10090021</v>
      </c>
      <c r="G2307" s="77" t="str">
        <f t="shared" ca="1" si="9"/>
        <v>si</v>
      </c>
    </row>
    <row r="2308" spans="1:7" ht="12.75" x14ac:dyDescent="0.2">
      <c r="A2308" s="62">
        <f ca="1">IFERROR(__xludf.DUMMYFUNCTION("""COMPUTED_VALUE"""),10090022)</f>
        <v>10090022</v>
      </c>
      <c r="B2308" s="62" t="str">
        <f ca="1">IFERROR(__xludf.DUMMYFUNCTION("""COMPUTED_VALUE"""),"Memoria 1TB iPad Pro 10.5")</f>
        <v>Memoria 1TB iPad Pro 10.5</v>
      </c>
      <c r="C2308" s="75">
        <f ca="1">IFERROR(__xludf.DUMMYFUNCTION("""COMPUTED_VALUE"""),490)</f>
        <v>490</v>
      </c>
      <c r="D2308" s="75">
        <f ca="1">IFERROR(__xludf.DUMMYFUNCTION("""COMPUTED_VALUE"""),100)</f>
        <v>100</v>
      </c>
      <c r="E2308" s="76">
        <f ca="1">IFERROR(__xludf.DUMMYFUNCTION("""COMPUTED_VALUE"""),590)</f>
        <v>590</v>
      </c>
      <c r="F2308" s="77">
        <f ca="1">IFERROR(__xludf.DUMMYFUNCTION("""COMPUTED_VALUE"""),10090022)</f>
        <v>10090022</v>
      </c>
      <c r="G2308" s="77" t="str">
        <f t="shared" ca="1" si="9"/>
        <v>si</v>
      </c>
    </row>
    <row r="2309" spans="1:7" ht="12.75" x14ac:dyDescent="0.2">
      <c r="A2309" s="62">
        <f ca="1">IFERROR(__xludf.DUMMYFUNCTION("""COMPUTED_VALUE"""),10090023)</f>
        <v>10090023</v>
      </c>
      <c r="B2309" s="62" t="str">
        <f ca="1">IFERROR(__xludf.DUMMYFUNCTION("""COMPUTED_VALUE"""),"Memoria 1TB iPad Pro 11")</f>
        <v>Memoria 1TB iPad Pro 11</v>
      </c>
      <c r="C2309" s="75">
        <f ca="1">IFERROR(__xludf.DUMMYFUNCTION("""COMPUTED_VALUE"""),540)</f>
        <v>540</v>
      </c>
      <c r="D2309" s="75">
        <f ca="1">IFERROR(__xludf.DUMMYFUNCTION("""COMPUTED_VALUE"""),100)</f>
        <v>100</v>
      </c>
      <c r="E2309" s="76">
        <f ca="1">IFERROR(__xludf.DUMMYFUNCTION("""COMPUTED_VALUE"""),640)</f>
        <v>640</v>
      </c>
      <c r="F2309" s="77">
        <f ca="1">IFERROR(__xludf.DUMMYFUNCTION("""COMPUTED_VALUE"""),10090023)</f>
        <v>10090023</v>
      </c>
      <c r="G2309" s="77" t="str">
        <f t="shared" ca="1" si="9"/>
        <v>si</v>
      </c>
    </row>
    <row r="2310" spans="1:7" ht="12.75" x14ac:dyDescent="0.2">
      <c r="A2310" s="62">
        <f ca="1">IFERROR(__xludf.DUMMYFUNCTION("""COMPUTED_VALUE"""),10090024)</f>
        <v>10090024</v>
      </c>
      <c r="B2310" s="62" t="str">
        <f ca="1">IFERROR(__xludf.DUMMYFUNCTION("""COMPUTED_VALUE"""),"Memoria 1TB iPad 12.9")</f>
        <v>Memoria 1TB iPad 12.9</v>
      </c>
      <c r="C2310" s="75">
        <f ca="1">IFERROR(__xludf.DUMMYFUNCTION("""COMPUTED_VALUE"""),590)</f>
        <v>590</v>
      </c>
      <c r="D2310" s="75">
        <f ca="1">IFERROR(__xludf.DUMMYFUNCTION("""COMPUTED_VALUE"""),100)</f>
        <v>100</v>
      </c>
      <c r="E2310" s="76">
        <f ca="1">IFERROR(__xludf.DUMMYFUNCTION("""COMPUTED_VALUE"""),690)</f>
        <v>690</v>
      </c>
      <c r="F2310" s="77">
        <f ca="1">IFERROR(__xludf.DUMMYFUNCTION("""COMPUTED_VALUE"""),10090024)</f>
        <v>10090024</v>
      </c>
      <c r="G2310" s="77" t="str">
        <f t="shared" ca="1" si="9"/>
        <v>si</v>
      </c>
    </row>
    <row r="2311" spans="1:7" ht="12.75" x14ac:dyDescent="0.2">
      <c r="A2311" s="62">
        <f ca="1">IFERROR(__xludf.DUMMYFUNCTION("""COMPUTED_VALUE"""),10090025)</f>
        <v>10090025</v>
      </c>
      <c r="B2311" s="62" t="str">
        <f ca="1">IFERROR(__xludf.DUMMYFUNCTION("""COMPUTED_VALUE"""),"Memoria 1TB iPad 7ma/8va/9na")</f>
        <v>Memoria 1TB iPad 7ma/8va/9na</v>
      </c>
      <c r="C2311" s="75">
        <f ca="1">IFERROR(__xludf.DUMMYFUNCTION("""COMPUTED_VALUE"""),440)</f>
        <v>440</v>
      </c>
      <c r="D2311" s="75">
        <f ca="1">IFERROR(__xludf.DUMMYFUNCTION("""COMPUTED_VALUE"""),100)</f>
        <v>100</v>
      </c>
      <c r="E2311" s="76">
        <f ca="1">IFERROR(__xludf.DUMMYFUNCTION("""COMPUTED_VALUE"""),540)</f>
        <v>540</v>
      </c>
      <c r="F2311" s="77">
        <f ca="1">IFERROR(__xludf.DUMMYFUNCTION("""COMPUTED_VALUE"""),10090025)</f>
        <v>10090025</v>
      </c>
      <c r="G2311" s="77" t="str">
        <f t="shared" ca="1" si="9"/>
        <v>si</v>
      </c>
    </row>
    <row r="2312" spans="1:7" ht="12.75" x14ac:dyDescent="0.2">
      <c r="A2312" s="62">
        <f ca="1">IFERROR(__xludf.DUMMYFUNCTION("""COMPUTED_VALUE"""),10090026)</f>
        <v>10090026</v>
      </c>
      <c r="B2312" s="62" t="str">
        <f ca="1">IFERROR(__xludf.DUMMYFUNCTION("""COMPUTED_VALUE"""),"Memoria 1TB iPad Air 3")</f>
        <v>Memoria 1TB iPad Air 3</v>
      </c>
      <c r="C2312" s="75">
        <f ca="1">IFERROR(__xludf.DUMMYFUNCTION("""COMPUTED_VALUE"""),490)</f>
        <v>490</v>
      </c>
      <c r="D2312" s="75">
        <f ca="1">IFERROR(__xludf.DUMMYFUNCTION("""COMPUTED_VALUE"""),100)</f>
        <v>100</v>
      </c>
      <c r="E2312" s="76">
        <f ca="1">IFERROR(__xludf.DUMMYFUNCTION("""COMPUTED_VALUE"""),590)</f>
        <v>590</v>
      </c>
      <c r="F2312" s="77">
        <f ca="1">IFERROR(__xludf.DUMMYFUNCTION("""COMPUTED_VALUE"""),10090026)</f>
        <v>10090026</v>
      </c>
      <c r="G2312" s="77" t="str">
        <f t="shared" ca="1" si="9"/>
        <v>si</v>
      </c>
    </row>
    <row r="2313" spans="1:7" ht="12.75" x14ac:dyDescent="0.2">
      <c r="A2313" s="62">
        <f ca="1">IFERROR(__xludf.DUMMYFUNCTION("""COMPUTED_VALUE"""),10090027)</f>
        <v>10090027</v>
      </c>
      <c r="B2313" s="62" t="str">
        <f ca="1">IFERROR(__xludf.DUMMYFUNCTION("""COMPUTED_VALUE"""),"Memoria 1TB iPad Air 4")</f>
        <v>Memoria 1TB iPad Air 4</v>
      </c>
      <c r="C2313" s="75">
        <f ca="1">IFERROR(__xludf.DUMMYFUNCTION("""COMPUTED_VALUE"""),590)</f>
        <v>590</v>
      </c>
      <c r="D2313" s="75">
        <f ca="1">IFERROR(__xludf.DUMMYFUNCTION("""COMPUTED_VALUE"""),100)</f>
        <v>100</v>
      </c>
      <c r="E2313" s="76">
        <f ca="1">IFERROR(__xludf.DUMMYFUNCTION("""COMPUTED_VALUE"""),690)</f>
        <v>690</v>
      </c>
      <c r="F2313" s="77">
        <f ca="1">IFERROR(__xludf.DUMMYFUNCTION("""COMPUTED_VALUE"""),10090027)</f>
        <v>10090027</v>
      </c>
      <c r="G2313" s="77" t="str">
        <f t="shared" ca="1" si="9"/>
        <v>si</v>
      </c>
    </row>
    <row r="2314" spans="1:7" ht="12.75" x14ac:dyDescent="0.2">
      <c r="A2314" s="62"/>
      <c r="B2314" s="62"/>
      <c r="C2314" s="62"/>
      <c r="D2314" s="62"/>
      <c r="E2314" s="76">
        <f ca="1">IFERROR(__xludf.DUMMYFUNCTION("""COMPUTED_VALUE"""),0)</f>
        <v>0</v>
      </c>
      <c r="F2314" s="77"/>
      <c r="G2314" s="77" t="str">
        <f t="shared" si="9"/>
        <v>si</v>
      </c>
    </row>
    <row r="2315" spans="1:7" ht="12.75" x14ac:dyDescent="0.2">
      <c r="A2315" s="62"/>
      <c r="B2315" s="62"/>
      <c r="C2315" s="62"/>
      <c r="D2315" s="62"/>
      <c r="E2315" s="76">
        <f ca="1">IFERROR(__xludf.DUMMYFUNCTION("""COMPUTED_VALUE"""),0)</f>
        <v>0</v>
      </c>
      <c r="F2315" s="77"/>
      <c r="G2315" s="77" t="str">
        <f t="shared" si="9"/>
        <v>si</v>
      </c>
    </row>
    <row r="2316" spans="1:7" ht="12.75" x14ac:dyDescent="0.2">
      <c r="A2316" s="62"/>
      <c r="B2316" s="62"/>
      <c r="C2316" s="62"/>
      <c r="D2316" s="62"/>
      <c r="E2316" s="76">
        <f ca="1">IFERROR(__xludf.DUMMYFUNCTION("""COMPUTED_VALUE"""),0)</f>
        <v>0</v>
      </c>
      <c r="F2316" s="77"/>
      <c r="G2316" s="77" t="str">
        <f t="shared" si="9"/>
        <v>si</v>
      </c>
    </row>
    <row r="2317" spans="1:7" ht="12.75" x14ac:dyDescent="0.2">
      <c r="A2317" s="62"/>
      <c r="B2317" s="62"/>
      <c r="C2317" s="62"/>
      <c r="D2317" s="62"/>
      <c r="E2317" s="76">
        <f ca="1">IFERROR(__xludf.DUMMYFUNCTION("""COMPUTED_VALUE"""),0)</f>
        <v>0</v>
      </c>
      <c r="F2317" s="77"/>
      <c r="G2317" s="77" t="str">
        <f t="shared" si="9"/>
        <v>si</v>
      </c>
    </row>
    <row r="2318" spans="1:7" ht="12.75" x14ac:dyDescent="0.2">
      <c r="A2318" s="62"/>
      <c r="B2318" s="62"/>
      <c r="C2318" s="62"/>
      <c r="D2318" s="62"/>
      <c r="E2318" s="76">
        <f ca="1">IFERROR(__xludf.DUMMYFUNCTION("""COMPUTED_VALUE"""),0)</f>
        <v>0</v>
      </c>
      <c r="F2318" s="77"/>
      <c r="G2318" s="77" t="str">
        <f t="shared" si="9"/>
        <v>si</v>
      </c>
    </row>
    <row r="2319" spans="1:7" ht="12.75" x14ac:dyDescent="0.2">
      <c r="A2319" s="62"/>
      <c r="B2319" s="62"/>
      <c r="C2319" s="62"/>
      <c r="D2319" s="62"/>
      <c r="E2319" s="76">
        <f ca="1">IFERROR(__xludf.DUMMYFUNCTION("""COMPUTED_VALUE"""),0)</f>
        <v>0</v>
      </c>
      <c r="F2319" s="77"/>
      <c r="G2319" s="77" t="str">
        <f t="shared" si="9"/>
        <v>si</v>
      </c>
    </row>
    <row r="2320" spans="1:7" ht="12.75" x14ac:dyDescent="0.2">
      <c r="A2320" s="62"/>
      <c r="B2320" s="62"/>
      <c r="C2320" s="62"/>
      <c r="D2320" s="62"/>
      <c r="E2320" s="76">
        <f ca="1">IFERROR(__xludf.DUMMYFUNCTION("""COMPUTED_VALUE"""),0)</f>
        <v>0</v>
      </c>
      <c r="F2320" s="77"/>
      <c r="G2320" s="77" t="str">
        <f t="shared" si="9"/>
        <v>si</v>
      </c>
    </row>
    <row r="2321" spans="1:7" ht="12.75" x14ac:dyDescent="0.2">
      <c r="A2321" s="62"/>
      <c r="B2321" s="62"/>
      <c r="C2321" s="62"/>
      <c r="D2321" s="62"/>
      <c r="E2321" s="76">
        <f ca="1">IFERROR(__xludf.DUMMYFUNCTION("""COMPUTED_VALUE"""),0)</f>
        <v>0</v>
      </c>
      <c r="F2321" s="77"/>
      <c r="G2321" s="77" t="str">
        <f t="shared" si="9"/>
        <v>si</v>
      </c>
    </row>
    <row r="2322" spans="1:7" ht="12.75" x14ac:dyDescent="0.2">
      <c r="A2322" s="62"/>
      <c r="B2322" s="62"/>
      <c r="C2322" s="62"/>
      <c r="D2322" s="62"/>
      <c r="E2322" s="76">
        <f ca="1">IFERROR(__xludf.DUMMYFUNCTION("""COMPUTED_VALUE"""),0)</f>
        <v>0</v>
      </c>
      <c r="F2322" s="77"/>
      <c r="G2322" s="77" t="str">
        <f t="shared" si="9"/>
        <v>si</v>
      </c>
    </row>
    <row r="2323" spans="1:7" ht="12.75" x14ac:dyDescent="0.2">
      <c r="A2323" s="62"/>
      <c r="B2323" s="62"/>
      <c r="C2323" s="62"/>
      <c r="D2323" s="62"/>
      <c r="E2323" s="76">
        <f ca="1">IFERROR(__xludf.DUMMYFUNCTION("""COMPUTED_VALUE"""),0)</f>
        <v>0</v>
      </c>
      <c r="F2323" s="77"/>
      <c r="G2323" s="77" t="str">
        <f t="shared" si="9"/>
        <v>si</v>
      </c>
    </row>
    <row r="2324" spans="1:7" ht="12.75" x14ac:dyDescent="0.2">
      <c r="A2324" s="62"/>
      <c r="B2324" s="62"/>
      <c r="C2324" s="62"/>
      <c r="D2324" s="62"/>
      <c r="E2324" s="76">
        <f ca="1">IFERROR(__xludf.DUMMYFUNCTION("""COMPUTED_VALUE"""),0)</f>
        <v>0</v>
      </c>
      <c r="F2324" s="77"/>
      <c r="G2324" s="77" t="str">
        <f t="shared" si="9"/>
        <v>si</v>
      </c>
    </row>
    <row r="2325" spans="1:7" ht="12.75" x14ac:dyDescent="0.2">
      <c r="A2325" s="62"/>
      <c r="B2325" s="62"/>
      <c r="C2325" s="62"/>
      <c r="D2325" s="62"/>
      <c r="E2325" s="76">
        <f ca="1">IFERROR(__xludf.DUMMYFUNCTION("""COMPUTED_VALUE"""),0)</f>
        <v>0</v>
      </c>
      <c r="F2325" s="77"/>
      <c r="G2325" s="77" t="str">
        <f t="shared" si="9"/>
        <v>si</v>
      </c>
    </row>
    <row r="2326" spans="1:7" ht="12.75" x14ac:dyDescent="0.2">
      <c r="A2326" s="62"/>
      <c r="B2326" s="62"/>
      <c r="C2326" s="62"/>
      <c r="D2326" s="62"/>
      <c r="E2326" s="76">
        <f ca="1">IFERROR(__xludf.DUMMYFUNCTION("""COMPUTED_VALUE"""),0)</f>
        <v>0</v>
      </c>
      <c r="F2326" s="77"/>
      <c r="G2326" s="77" t="str">
        <f t="shared" si="9"/>
        <v>si</v>
      </c>
    </row>
    <row r="2327" spans="1:7" ht="12.75" x14ac:dyDescent="0.2">
      <c r="A2327" s="62"/>
      <c r="B2327" s="62"/>
      <c r="C2327" s="62"/>
      <c r="D2327" s="62"/>
      <c r="E2327" s="76">
        <f ca="1">IFERROR(__xludf.DUMMYFUNCTION("""COMPUTED_VALUE"""),0)</f>
        <v>0</v>
      </c>
      <c r="F2327" s="77"/>
      <c r="G2327" s="77" t="str">
        <f t="shared" si="9"/>
        <v>si</v>
      </c>
    </row>
    <row r="2328" spans="1:7" ht="12.75" x14ac:dyDescent="0.2">
      <c r="A2328" s="62"/>
      <c r="B2328" s="62"/>
      <c r="C2328" s="62"/>
      <c r="D2328" s="62"/>
      <c r="E2328" s="76">
        <f ca="1">IFERROR(__xludf.DUMMYFUNCTION("""COMPUTED_VALUE"""),0)</f>
        <v>0</v>
      </c>
      <c r="F2328" s="77"/>
      <c r="G2328" s="77" t="str">
        <f t="shared" si="9"/>
        <v>si</v>
      </c>
    </row>
    <row r="2329" spans="1:7" ht="12.75" x14ac:dyDescent="0.2">
      <c r="A2329" s="62"/>
      <c r="B2329" s="62"/>
      <c r="C2329" s="62"/>
      <c r="D2329" s="62"/>
      <c r="E2329" s="76">
        <f ca="1">IFERROR(__xludf.DUMMYFUNCTION("""COMPUTED_VALUE"""),0)</f>
        <v>0</v>
      </c>
      <c r="F2329" s="77"/>
      <c r="G2329" s="77" t="str">
        <f t="shared" si="9"/>
        <v>si</v>
      </c>
    </row>
    <row r="2330" spans="1:7" ht="12.75" x14ac:dyDescent="0.2">
      <c r="A2330" s="62"/>
      <c r="B2330" s="62"/>
      <c r="C2330" s="62"/>
      <c r="D2330" s="62"/>
      <c r="E2330" s="76">
        <f ca="1">IFERROR(__xludf.DUMMYFUNCTION("""COMPUTED_VALUE"""),0)</f>
        <v>0</v>
      </c>
      <c r="F2330" s="77"/>
      <c r="G2330" s="77" t="str">
        <f t="shared" si="9"/>
        <v>si</v>
      </c>
    </row>
    <row r="2331" spans="1:7" ht="12.75" x14ac:dyDescent="0.2">
      <c r="A2331" s="62"/>
      <c r="B2331" s="62"/>
      <c r="C2331" s="62"/>
      <c r="D2331" s="62"/>
      <c r="E2331" s="76">
        <f ca="1">IFERROR(__xludf.DUMMYFUNCTION("""COMPUTED_VALUE"""),0)</f>
        <v>0</v>
      </c>
      <c r="F2331" s="77"/>
      <c r="G2331" s="77" t="str">
        <f t="shared" si="9"/>
        <v>si</v>
      </c>
    </row>
    <row r="2332" spans="1:7" ht="12.75" x14ac:dyDescent="0.2">
      <c r="A2332" s="62"/>
      <c r="B2332" s="62"/>
      <c r="C2332" s="62"/>
      <c r="D2332" s="62"/>
      <c r="E2332" s="76">
        <f ca="1">IFERROR(__xludf.DUMMYFUNCTION("""COMPUTED_VALUE"""),0)</f>
        <v>0</v>
      </c>
      <c r="F2332" s="77"/>
      <c r="G2332" s="77" t="str">
        <f t="shared" si="9"/>
        <v>si</v>
      </c>
    </row>
    <row r="2333" spans="1:7" ht="12.75" x14ac:dyDescent="0.2">
      <c r="A2333" s="62"/>
      <c r="B2333" s="62"/>
      <c r="C2333" s="62"/>
      <c r="D2333" s="62"/>
      <c r="E2333" s="76">
        <f ca="1">IFERROR(__xludf.DUMMYFUNCTION("""COMPUTED_VALUE"""),0)</f>
        <v>0</v>
      </c>
      <c r="F2333" s="77"/>
      <c r="G2333" s="77" t="str">
        <f t="shared" si="9"/>
        <v>si</v>
      </c>
    </row>
    <row r="2334" spans="1:7" ht="12.75" x14ac:dyDescent="0.2">
      <c r="A2334" s="62"/>
      <c r="B2334" s="62"/>
      <c r="C2334" s="62"/>
      <c r="D2334" s="62"/>
      <c r="E2334" s="76">
        <f ca="1">IFERROR(__xludf.DUMMYFUNCTION("""COMPUTED_VALUE"""),0)</f>
        <v>0</v>
      </c>
      <c r="F2334" s="77"/>
      <c r="G2334" s="77" t="str">
        <f t="shared" si="9"/>
        <v>si</v>
      </c>
    </row>
    <row r="2335" spans="1:7" ht="12.75" x14ac:dyDescent="0.2">
      <c r="A2335" s="62"/>
      <c r="B2335" s="62"/>
      <c r="C2335" s="62"/>
      <c r="D2335" s="62"/>
      <c r="E2335" s="76">
        <f ca="1">IFERROR(__xludf.DUMMYFUNCTION("""COMPUTED_VALUE"""),0)</f>
        <v>0</v>
      </c>
      <c r="F2335" s="77"/>
      <c r="G2335" s="77" t="str">
        <f t="shared" si="9"/>
        <v>si</v>
      </c>
    </row>
    <row r="2336" spans="1:7" ht="12.75" x14ac:dyDescent="0.2">
      <c r="A2336" s="62"/>
      <c r="B2336" s="62"/>
      <c r="C2336" s="62"/>
      <c r="D2336" s="62"/>
      <c r="E2336" s="76">
        <f ca="1">IFERROR(__xludf.DUMMYFUNCTION("""COMPUTED_VALUE"""),0)</f>
        <v>0</v>
      </c>
      <c r="F2336" s="77"/>
      <c r="G2336" s="77" t="str">
        <f t="shared" si="9"/>
        <v>si</v>
      </c>
    </row>
    <row r="2337" spans="1:7" ht="12.75" x14ac:dyDescent="0.2">
      <c r="A2337" s="62"/>
      <c r="B2337" s="62"/>
      <c r="C2337" s="62"/>
      <c r="D2337" s="62"/>
      <c r="E2337" s="76">
        <f ca="1">IFERROR(__xludf.DUMMYFUNCTION("""COMPUTED_VALUE"""),0)</f>
        <v>0</v>
      </c>
      <c r="F2337" s="77"/>
      <c r="G2337" s="77" t="str">
        <f t="shared" si="9"/>
        <v>si</v>
      </c>
    </row>
    <row r="2338" spans="1:7" ht="12.75" x14ac:dyDescent="0.2">
      <c r="A2338" s="62"/>
      <c r="B2338" s="62"/>
      <c r="C2338" s="62"/>
      <c r="D2338" s="62"/>
      <c r="E2338" s="76">
        <f ca="1">IFERROR(__xludf.DUMMYFUNCTION("""COMPUTED_VALUE"""),0)</f>
        <v>0</v>
      </c>
      <c r="F2338" s="77"/>
      <c r="G2338" s="77" t="str">
        <f t="shared" si="9"/>
        <v>si</v>
      </c>
    </row>
    <row r="2339" spans="1:7" ht="12.75" x14ac:dyDescent="0.2">
      <c r="A2339" s="62"/>
      <c r="B2339" s="62"/>
      <c r="C2339" s="62"/>
      <c r="D2339" s="62"/>
      <c r="E2339" s="76">
        <f ca="1">IFERROR(__xludf.DUMMYFUNCTION("""COMPUTED_VALUE"""),0)</f>
        <v>0</v>
      </c>
      <c r="F2339" s="77"/>
      <c r="G2339" s="77" t="str">
        <f t="shared" si="9"/>
        <v>si</v>
      </c>
    </row>
    <row r="2340" spans="1:7" ht="12.75" x14ac:dyDescent="0.2">
      <c r="A2340" s="62"/>
      <c r="B2340" s="62"/>
      <c r="C2340" s="62"/>
      <c r="D2340" s="62"/>
      <c r="E2340" s="76">
        <f ca="1">IFERROR(__xludf.DUMMYFUNCTION("""COMPUTED_VALUE"""),0)</f>
        <v>0</v>
      </c>
      <c r="F2340" s="77"/>
      <c r="G2340" s="77" t="str">
        <f t="shared" si="9"/>
        <v>si</v>
      </c>
    </row>
    <row r="2341" spans="1:7" ht="12.75" x14ac:dyDescent="0.2">
      <c r="A2341" s="62"/>
      <c r="B2341" s="62"/>
      <c r="C2341" s="62"/>
      <c r="D2341" s="62"/>
      <c r="E2341" s="76">
        <f ca="1">IFERROR(__xludf.DUMMYFUNCTION("""COMPUTED_VALUE"""),0)</f>
        <v>0</v>
      </c>
      <c r="F2341" s="77"/>
      <c r="G2341" s="77" t="str">
        <f t="shared" si="9"/>
        <v>si</v>
      </c>
    </row>
    <row r="2342" spans="1:7" ht="12.75" x14ac:dyDescent="0.2">
      <c r="A2342" s="62"/>
      <c r="B2342" s="62"/>
      <c r="C2342" s="62"/>
      <c r="D2342" s="62"/>
      <c r="E2342" s="76">
        <f ca="1">IFERROR(__xludf.DUMMYFUNCTION("""COMPUTED_VALUE"""),0)</f>
        <v>0</v>
      </c>
      <c r="F2342" s="77"/>
      <c r="G2342" s="77" t="str">
        <f t="shared" si="9"/>
        <v>si</v>
      </c>
    </row>
    <row r="2343" spans="1:7" ht="12.75" x14ac:dyDescent="0.2">
      <c r="A2343" s="62"/>
      <c r="B2343" s="62"/>
      <c r="C2343" s="62"/>
      <c r="D2343" s="62"/>
      <c r="E2343" s="76">
        <f ca="1">IFERROR(__xludf.DUMMYFUNCTION("""COMPUTED_VALUE"""),0)</f>
        <v>0</v>
      </c>
      <c r="F2343" s="77"/>
      <c r="G2343" s="77" t="str">
        <f t="shared" si="9"/>
        <v>si</v>
      </c>
    </row>
    <row r="2344" spans="1:7" ht="12.75" x14ac:dyDescent="0.2">
      <c r="A2344" s="62"/>
      <c r="B2344" s="62"/>
      <c r="C2344" s="62"/>
      <c r="D2344" s="62"/>
      <c r="E2344" s="76">
        <f ca="1">IFERROR(__xludf.DUMMYFUNCTION("""COMPUTED_VALUE"""),0)</f>
        <v>0</v>
      </c>
      <c r="F2344" s="77"/>
      <c r="G2344" s="77" t="str">
        <f t="shared" si="9"/>
        <v>si</v>
      </c>
    </row>
    <row r="2345" spans="1:7" ht="12.75" x14ac:dyDescent="0.2">
      <c r="A2345" s="62"/>
      <c r="B2345" s="62"/>
      <c r="C2345" s="62"/>
      <c r="D2345" s="62"/>
      <c r="E2345" s="76">
        <f ca="1">IFERROR(__xludf.DUMMYFUNCTION("""COMPUTED_VALUE"""),0)</f>
        <v>0</v>
      </c>
      <c r="F2345" s="77"/>
      <c r="G2345" s="77" t="str">
        <f t="shared" si="9"/>
        <v>si</v>
      </c>
    </row>
    <row r="2346" spans="1:7" ht="12.75" x14ac:dyDescent="0.2">
      <c r="A2346" s="62"/>
      <c r="B2346" s="62"/>
      <c r="C2346" s="62"/>
      <c r="D2346" s="62"/>
      <c r="E2346" s="76">
        <f ca="1">IFERROR(__xludf.DUMMYFUNCTION("""COMPUTED_VALUE"""),0)</f>
        <v>0</v>
      </c>
      <c r="F2346" s="77"/>
      <c r="G2346" s="77" t="str">
        <f t="shared" si="9"/>
        <v>si</v>
      </c>
    </row>
    <row r="2347" spans="1:7" ht="12.75" x14ac:dyDescent="0.2">
      <c r="A2347" s="62"/>
      <c r="B2347" s="62"/>
      <c r="C2347" s="62"/>
      <c r="D2347" s="62"/>
      <c r="E2347" s="76">
        <f ca="1">IFERROR(__xludf.DUMMYFUNCTION("""COMPUTED_VALUE"""),0)</f>
        <v>0</v>
      </c>
      <c r="F2347" s="77"/>
      <c r="G2347" s="77" t="str">
        <f t="shared" si="9"/>
        <v>si</v>
      </c>
    </row>
    <row r="2348" spans="1:7" ht="12.75" x14ac:dyDescent="0.2">
      <c r="A2348" s="62"/>
      <c r="B2348" s="62"/>
      <c r="C2348" s="62"/>
      <c r="D2348" s="62"/>
      <c r="E2348" s="76">
        <f ca="1">IFERROR(__xludf.DUMMYFUNCTION("""COMPUTED_VALUE"""),0)</f>
        <v>0</v>
      </c>
      <c r="F2348" s="77"/>
      <c r="G2348" s="77" t="str">
        <f t="shared" si="9"/>
        <v>si</v>
      </c>
    </row>
    <row r="2349" spans="1:7" ht="12.75" x14ac:dyDescent="0.2">
      <c r="A2349" s="62"/>
      <c r="B2349" s="62"/>
      <c r="C2349" s="62"/>
      <c r="D2349" s="62"/>
      <c r="E2349" s="76">
        <f ca="1">IFERROR(__xludf.DUMMYFUNCTION("""COMPUTED_VALUE"""),0)</f>
        <v>0</v>
      </c>
      <c r="F2349" s="77"/>
      <c r="G2349" s="77" t="str">
        <f t="shared" si="9"/>
        <v>si</v>
      </c>
    </row>
    <row r="2350" spans="1:7" ht="12.75" x14ac:dyDescent="0.2">
      <c r="A2350" s="62"/>
      <c r="B2350" s="62"/>
      <c r="C2350" s="62"/>
      <c r="D2350" s="62"/>
      <c r="E2350" s="76">
        <f ca="1">IFERROR(__xludf.DUMMYFUNCTION("""COMPUTED_VALUE"""),0)</f>
        <v>0</v>
      </c>
      <c r="F2350" s="77"/>
      <c r="G2350" s="77" t="str">
        <f t="shared" si="9"/>
        <v>si</v>
      </c>
    </row>
    <row r="2351" spans="1:7" ht="12.75" x14ac:dyDescent="0.2">
      <c r="A2351" s="62"/>
      <c r="B2351" s="62"/>
      <c r="C2351" s="62"/>
      <c r="D2351" s="62"/>
      <c r="E2351" s="76">
        <f ca="1">IFERROR(__xludf.DUMMYFUNCTION("""COMPUTED_VALUE"""),0)</f>
        <v>0</v>
      </c>
      <c r="F2351" s="77"/>
      <c r="G2351" s="77" t="str">
        <f t="shared" si="9"/>
        <v>si</v>
      </c>
    </row>
    <row r="2352" spans="1:7" ht="12.75" x14ac:dyDescent="0.2">
      <c r="A2352" s="62"/>
      <c r="B2352" s="62"/>
      <c r="C2352" s="62"/>
      <c r="D2352" s="62"/>
      <c r="E2352" s="76">
        <f ca="1">IFERROR(__xludf.DUMMYFUNCTION("""COMPUTED_VALUE"""),0)</f>
        <v>0</v>
      </c>
      <c r="F2352" s="77"/>
      <c r="G2352" s="77" t="str">
        <f t="shared" si="9"/>
        <v>si</v>
      </c>
    </row>
    <row r="2353" spans="1:7" ht="12.75" x14ac:dyDescent="0.2">
      <c r="A2353" s="62"/>
      <c r="B2353" s="62"/>
      <c r="C2353" s="62"/>
      <c r="D2353" s="62"/>
      <c r="E2353" s="76">
        <f ca="1">IFERROR(__xludf.DUMMYFUNCTION("""COMPUTED_VALUE"""),0)</f>
        <v>0</v>
      </c>
      <c r="F2353" s="77"/>
      <c r="G2353" s="77" t="str">
        <f t="shared" si="9"/>
        <v>si</v>
      </c>
    </row>
    <row r="2354" spans="1:7" ht="12.75" x14ac:dyDescent="0.2">
      <c r="A2354" s="62"/>
      <c r="B2354" s="62"/>
      <c r="C2354" s="62"/>
      <c r="D2354" s="62"/>
      <c r="E2354" s="76">
        <f ca="1">IFERROR(__xludf.DUMMYFUNCTION("""COMPUTED_VALUE"""),0)</f>
        <v>0</v>
      </c>
      <c r="F2354" s="77"/>
      <c r="G2354" s="77" t="str">
        <f t="shared" si="9"/>
        <v>si</v>
      </c>
    </row>
    <row r="2355" spans="1:7" ht="12.75" x14ac:dyDescent="0.2">
      <c r="A2355" s="62"/>
      <c r="B2355" s="62"/>
      <c r="C2355" s="62"/>
      <c r="D2355" s="62"/>
      <c r="E2355" s="76">
        <f ca="1">IFERROR(__xludf.DUMMYFUNCTION("""COMPUTED_VALUE"""),0)</f>
        <v>0</v>
      </c>
      <c r="F2355" s="77"/>
      <c r="G2355" s="77" t="str">
        <f t="shared" si="9"/>
        <v>si</v>
      </c>
    </row>
    <row r="2356" spans="1:7" ht="12.75" x14ac:dyDescent="0.2">
      <c r="A2356" s="62"/>
      <c r="B2356" s="62"/>
      <c r="C2356" s="62"/>
      <c r="D2356" s="62"/>
      <c r="E2356" s="76">
        <f ca="1">IFERROR(__xludf.DUMMYFUNCTION("""COMPUTED_VALUE"""),0)</f>
        <v>0</v>
      </c>
      <c r="F2356" s="77"/>
      <c r="G2356" s="77" t="str">
        <f t="shared" si="9"/>
        <v>si</v>
      </c>
    </row>
    <row r="2357" spans="1:7" ht="12.75" x14ac:dyDescent="0.2">
      <c r="A2357" s="62"/>
      <c r="B2357" s="62"/>
      <c r="C2357" s="62"/>
      <c r="D2357" s="62"/>
      <c r="E2357" s="76">
        <f ca="1">IFERROR(__xludf.DUMMYFUNCTION("""COMPUTED_VALUE"""),0)</f>
        <v>0</v>
      </c>
      <c r="F2357" s="77"/>
      <c r="G2357" s="77" t="str">
        <f t="shared" si="9"/>
        <v>si</v>
      </c>
    </row>
    <row r="2358" spans="1:7" ht="12.75" x14ac:dyDescent="0.2">
      <c r="A2358" s="62"/>
      <c r="B2358" s="62"/>
      <c r="C2358" s="62"/>
      <c r="D2358" s="62"/>
      <c r="E2358" s="76">
        <f ca="1">IFERROR(__xludf.DUMMYFUNCTION("""COMPUTED_VALUE"""),0)</f>
        <v>0</v>
      </c>
      <c r="F2358" s="77"/>
      <c r="G2358" s="77" t="str">
        <f t="shared" si="9"/>
        <v>si</v>
      </c>
    </row>
    <row r="2359" spans="1:7" ht="12.75" x14ac:dyDescent="0.2">
      <c r="A2359" s="62"/>
      <c r="B2359" s="62"/>
      <c r="C2359" s="62"/>
      <c r="D2359" s="62"/>
      <c r="E2359" s="76">
        <f ca="1">IFERROR(__xludf.DUMMYFUNCTION("""COMPUTED_VALUE"""),0)</f>
        <v>0</v>
      </c>
      <c r="F2359" s="77"/>
      <c r="G2359" s="77" t="str">
        <f t="shared" si="9"/>
        <v>si</v>
      </c>
    </row>
    <row r="2360" spans="1:7" ht="12.75" x14ac:dyDescent="0.2">
      <c r="A2360" s="62"/>
      <c r="B2360" s="62"/>
      <c r="C2360" s="62"/>
      <c r="D2360" s="62"/>
      <c r="E2360" s="76">
        <f ca="1">IFERROR(__xludf.DUMMYFUNCTION("""COMPUTED_VALUE"""),0)</f>
        <v>0</v>
      </c>
      <c r="F2360" s="77"/>
      <c r="G2360" s="77" t="str">
        <f t="shared" si="9"/>
        <v>si</v>
      </c>
    </row>
    <row r="2361" spans="1:7" ht="12.75" x14ac:dyDescent="0.2">
      <c r="A2361" s="62"/>
      <c r="B2361" s="62"/>
      <c r="C2361" s="62"/>
      <c r="D2361" s="62"/>
      <c r="E2361" s="76">
        <f ca="1">IFERROR(__xludf.DUMMYFUNCTION("""COMPUTED_VALUE"""),0)</f>
        <v>0</v>
      </c>
      <c r="F2361" s="77"/>
      <c r="G2361" s="77" t="str">
        <f t="shared" si="9"/>
        <v>si</v>
      </c>
    </row>
    <row r="2362" spans="1:7" ht="12.75" x14ac:dyDescent="0.2">
      <c r="A2362" s="62"/>
      <c r="B2362" s="62"/>
      <c r="C2362" s="62"/>
      <c r="D2362" s="62"/>
      <c r="E2362" s="76">
        <f ca="1">IFERROR(__xludf.DUMMYFUNCTION("""COMPUTED_VALUE"""),0)</f>
        <v>0</v>
      </c>
      <c r="F2362" s="77"/>
      <c r="G2362" s="77" t="str">
        <f t="shared" si="9"/>
        <v>si</v>
      </c>
    </row>
    <row r="2363" spans="1:7" ht="12.75" x14ac:dyDescent="0.2">
      <c r="A2363" s="62"/>
      <c r="B2363" s="62"/>
      <c r="C2363" s="62"/>
      <c r="D2363" s="62"/>
      <c r="E2363" s="76">
        <f ca="1">IFERROR(__xludf.DUMMYFUNCTION("""COMPUTED_VALUE"""),0)</f>
        <v>0</v>
      </c>
      <c r="F2363" s="77"/>
      <c r="G2363" s="77" t="str">
        <f t="shared" si="9"/>
        <v>si</v>
      </c>
    </row>
    <row r="2364" spans="1:7" ht="12.75" x14ac:dyDescent="0.2">
      <c r="A2364" s="62"/>
      <c r="B2364" s="62"/>
      <c r="C2364" s="62"/>
      <c r="D2364" s="62"/>
      <c r="E2364" s="76">
        <f ca="1">IFERROR(__xludf.DUMMYFUNCTION("""COMPUTED_VALUE"""),0)</f>
        <v>0</v>
      </c>
      <c r="F2364" s="77"/>
      <c r="G2364" s="77" t="str">
        <f t="shared" si="9"/>
        <v>si</v>
      </c>
    </row>
    <row r="2365" spans="1:7" ht="12.75" x14ac:dyDescent="0.2">
      <c r="A2365" s="62"/>
      <c r="B2365" s="62"/>
      <c r="C2365" s="62"/>
      <c r="D2365" s="62"/>
      <c r="E2365" s="76">
        <f ca="1">IFERROR(__xludf.DUMMYFUNCTION("""COMPUTED_VALUE"""),0)</f>
        <v>0</v>
      </c>
      <c r="F2365" s="77"/>
      <c r="G2365" s="77" t="str">
        <f t="shared" si="9"/>
        <v>si</v>
      </c>
    </row>
    <row r="2366" spans="1:7" ht="12.75" x14ac:dyDescent="0.2">
      <c r="A2366" s="62"/>
      <c r="B2366" s="62"/>
      <c r="C2366" s="62"/>
      <c r="D2366" s="62"/>
      <c r="E2366" s="76">
        <f ca="1">IFERROR(__xludf.DUMMYFUNCTION("""COMPUTED_VALUE"""),0)</f>
        <v>0</v>
      </c>
      <c r="F2366" s="77"/>
      <c r="G2366" s="77" t="str">
        <f t="shared" si="9"/>
        <v>si</v>
      </c>
    </row>
    <row r="2367" spans="1:7" ht="12.75" x14ac:dyDescent="0.2">
      <c r="A2367" s="62"/>
      <c r="B2367" s="62"/>
      <c r="C2367" s="62"/>
      <c r="D2367" s="62"/>
      <c r="E2367" s="76">
        <f ca="1">IFERROR(__xludf.DUMMYFUNCTION("""COMPUTED_VALUE"""),0)</f>
        <v>0</v>
      </c>
      <c r="F2367" s="77"/>
      <c r="G2367" s="77" t="str">
        <f t="shared" si="9"/>
        <v>si</v>
      </c>
    </row>
    <row r="2368" spans="1:7" ht="12.75" x14ac:dyDescent="0.2">
      <c r="A2368" s="62"/>
      <c r="B2368" s="62"/>
      <c r="C2368" s="62"/>
      <c r="D2368" s="62"/>
      <c r="E2368" s="76">
        <f ca="1">IFERROR(__xludf.DUMMYFUNCTION("""COMPUTED_VALUE"""),0)</f>
        <v>0</v>
      </c>
      <c r="F2368" s="77"/>
      <c r="G2368" s="77" t="str">
        <f t="shared" si="9"/>
        <v>si</v>
      </c>
    </row>
    <row r="2369" spans="1:7" ht="12.75" x14ac:dyDescent="0.2">
      <c r="A2369" s="62"/>
      <c r="B2369" s="62"/>
      <c r="C2369" s="62"/>
      <c r="D2369" s="62"/>
      <c r="E2369" s="76">
        <f ca="1">IFERROR(__xludf.DUMMYFUNCTION("""COMPUTED_VALUE"""),0)</f>
        <v>0</v>
      </c>
      <c r="F2369" s="77"/>
      <c r="G2369" s="77" t="str">
        <f t="shared" si="9"/>
        <v>si</v>
      </c>
    </row>
    <row r="2370" spans="1:7" ht="12.75" x14ac:dyDescent="0.2">
      <c r="A2370" s="62"/>
      <c r="B2370" s="62"/>
      <c r="C2370" s="62"/>
      <c r="D2370" s="62"/>
      <c r="E2370" s="76">
        <f ca="1">IFERROR(__xludf.DUMMYFUNCTION("""COMPUTED_VALUE"""),0)</f>
        <v>0</v>
      </c>
      <c r="F2370" s="77"/>
      <c r="G2370" s="77" t="str">
        <f t="shared" si="9"/>
        <v>si</v>
      </c>
    </row>
    <row r="2371" spans="1:7" ht="12.75" x14ac:dyDescent="0.2">
      <c r="A2371" s="62"/>
      <c r="B2371" s="62"/>
      <c r="C2371" s="62"/>
      <c r="D2371" s="62"/>
      <c r="E2371" s="76">
        <f ca="1">IFERROR(__xludf.DUMMYFUNCTION("""COMPUTED_VALUE"""),0)</f>
        <v>0</v>
      </c>
      <c r="F2371" s="77"/>
      <c r="G2371" s="77" t="str">
        <f t="shared" si="9"/>
        <v>si</v>
      </c>
    </row>
    <row r="2372" spans="1:7" ht="12.75" x14ac:dyDescent="0.2">
      <c r="A2372" s="62"/>
      <c r="B2372" s="62"/>
      <c r="C2372" s="62"/>
      <c r="D2372" s="62"/>
      <c r="E2372" s="76">
        <f ca="1">IFERROR(__xludf.DUMMYFUNCTION("""COMPUTED_VALUE"""),0)</f>
        <v>0</v>
      </c>
      <c r="F2372" s="77"/>
      <c r="G2372" s="77" t="str">
        <f t="shared" si="9"/>
        <v>si</v>
      </c>
    </row>
    <row r="2373" spans="1:7" ht="12.75" x14ac:dyDescent="0.2">
      <c r="A2373" s="62"/>
      <c r="B2373" s="62"/>
      <c r="C2373" s="62"/>
      <c r="D2373" s="62"/>
      <c r="E2373" s="76">
        <f ca="1">IFERROR(__xludf.DUMMYFUNCTION("""COMPUTED_VALUE"""),0)</f>
        <v>0</v>
      </c>
      <c r="F2373" s="77"/>
      <c r="G2373" s="77" t="str">
        <f t="shared" si="9"/>
        <v>si</v>
      </c>
    </row>
    <row r="2374" spans="1:7" ht="12.75" x14ac:dyDescent="0.2">
      <c r="A2374" s="62"/>
      <c r="B2374" s="62"/>
      <c r="C2374" s="62"/>
      <c r="D2374" s="62"/>
      <c r="E2374" s="76">
        <f ca="1">IFERROR(__xludf.DUMMYFUNCTION("""COMPUTED_VALUE"""),0)</f>
        <v>0</v>
      </c>
      <c r="F2374" s="77"/>
      <c r="G2374" s="77" t="str">
        <f t="shared" si="9"/>
        <v>si</v>
      </c>
    </row>
    <row r="2375" spans="1:7" ht="12.75" x14ac:dyDescent="0.2">
      <c r="A2375" s="62"/>
      <c r="B2375" s="62"/>
      <c r="C2375" s="62"/>
      <c r="D2375" s="62"/>
      <c r="E2375" s="76">
        <f ca="1">IFERROR(__xludf.DUMMYFUNCTION("""COMPUTED_VALUE"""),0)</f>
        <v>0</v>
      </c>
      <c r="F2375" s="77"/>
      <c r="G2375" s="77" t="str">
        <f t="shared" si="9"/>
        <v>si</v>
      </c>
    </row>
    <row r="2376" spans="1:7" ht="12.75" x14ac:dyDescent="0.2">
      <c r="A2376" s="62"/>
      <c r="B2376" s="62"/>
      <c r="C2376" s="62"/>
      <c r="D2376" s="62"/>
      <c r="E2376" s="76">
        <f ca="1">IFERROR(__xludf.DUMMYFUNCTION("""COMPUTED_VALUE"""),0)</f>
        <v>0</v>
      </c>
      <c r="F2376" s="77"/>
      <c r="G2376" s="77" t="str">
        <f t="shared" si="9"/>
        <v>si</v>
      </c>
    </row>
    <row r="2377" spans="1:7" ht="12.75" x14ac:dyDescent="0.2">
      <c r="A2377" s="62"/>
      <c r="B2377" s="62"/>
      <c r="C2377" s="62"/>
      <c r="D2377" s="62"/>
      <c r="E2377" s="76">
        <f ca="1">IFERROR(__xludf.DUMMYFUNCTION("""COMPUTED_VALUE"""),0)</f>
        <v>0</v>
      </c>
      <c r="F2377" s="77"/>
      <c r="G2377" s="77" t="str">
        <f t="shared" si="9"/>
        <v>si</v>
      </c>
    </row>
    <row r="2378" spans="1:7" ht="12.75" x14ac:dyDescent="0.2">
      <c r="A2378" s="62"/>
      <c r="B2378" s="62"/>
      <c r="C2378" s="62"/>
      <c r="D2378" s="62"/>
      <c r="E2378" s="76">
        <f ca="1">IFERROR(__xludf.DUMMYFUNCTION("""COMPUTED_VALUE"""),0)</f>
        <v>0</v>
      </c>
      <c r="F2378" s="77"/>
      <c r="G2378" s="77" t="str">
        <f t="shared" si="9"/>
        <v>si</v>
      </c>
    </row>
    <row r="2379" spans="1:7" ht="12.75" x14ac:dyDescent="0.2">
      <c r="A2379" s="62"/>
      <c r="B2379" s="62"/>
      <c r="C2379" s="62"/>
      <c r="D2379" s="62"/>
      <c r="E2379" s="76">
        <f ca="1">IFERROR(__xludf.DUMMYFUNCTION("""COMPUTED_VALUE"""),0)</f>
        <v>0</v>
      </c>
      <c r="F2379" s="77"/>
      <c r="G2379" s="77" t="str">
        <f t="shared" si="9"/>
        <v>si</v>
      </c>
    </row>
    <row r="2380" spans="1:7" ht="12.75" x14ac:dyDescent="0.2">
      <c r="A2380" s="62"/>
      <c r="B2380" s="62"/>
      <c r="C2380" s="62"/>
      <c r="D2380" s="62"/>
      <c r="E2380" s="76">
        <f ca="1">IFERROR(__xludf.DUMMYFUNCTION("""COMPUTED_VALUE"""),0)</f>
        <v>0</v>
      </c>
      <c r="F2380" s="77"/>
      <c r="G2380" s="77" t="str">
        <f t="shared" si="9"/>
        <v>si</v>
      </c>
    </row>
    <row r="2381" spans="1:7" ht="12.75" x14ac:dyDescent="0.2">
      <c r="A2381" s="62"/>
      <c r="B2381" s="62"/>
      <c r="C2381" s="62"/>
      <c r="D2381" s="62"/>
      <c r="E2381" s="76">
        <f ca="1">IFERROR(__xludf.DUMMYFUNCTION("""COMPUTED_VALUE"""),0)</f>
        <v>0</v>
      </c>
      <c r="F2381" s="77"/>
      <c r="G2381" s="77" t="str">
        <f t="shared" si="9"/>
        <v>si</v>
      </c>
    </row>
    <row r="2382" spans="1:7" ht="12.75" x14ac:dyDescent="0.2">
      <c r="A2382" s="62"/>
      <c r="B2382" s="62"/>
      <c r="C2382" s="62"/>
      <c r="D2382" s="62"/>
      <c r="E2382" s="76">
        <f ca="1">IFERROR(__xludf.DUMMYFUNCTION("""COMPUTED_VALUE"""),0)</f>
        <v>0</v>
      </c>
      <c r="F2382" s="77"/>
      <c r="G2382" s="77" t="str">
        <f t="shared" si="9"/>
        <v>si</v>
      </c>
    </row>
    <row r="2383" spans="1:7" ht="12.75" x14ac:dyDescent="0.2">
      <c r="A2383" s="62"/>
      <c r="B2383" s="62"/>
      <c r="C2383" s="62"/>
      <c r="D2383" s="62"/>
      <c r="E2383" s="76">
        <f ca="1">IFERROR(__xludf.DUMMYFUNCTION("""COMPUTED_VALUE"""),0)</f>
        <v>0</v>
      </c>
      <c r="F2383" s="77"/>
      <c r="G2383" s="77" t="str">
        <f t="shared" si="9"/>
        <v>si</v>
      </c>
    </row>
    <row r="2384" spans="1:7" ht="12.75" x14ac:dyDescent="0.2">
      <c r="A2384" s="62"/>
      <c r="B2384" s="62"/>
      <c r="C2384" s="62"/>
      <c r="D2384" s="62"/>
      <c r="E2384" s="76">
        <f ca="1">IFERROR(__xludf.DUMMYFUNCTION("""COMPUTED_VALUE"""),0)</f>
        <v>0</v>
      </c>
      <c r="F2384" s="77"/>
      <c r="G2384" s="77" t="str">
        <f t="shared" si="9"/>
        <v>si</v>
      </c>
    </row>
    <row r="2385" spans="1:7" ht="12.75" x14ac:dyDescent="0.2">
      <c r="A2385" s="62"/>
      <c r="B2385" s="62"/>
      <c r="C2385" s="62"/>
      <c r="D2385" s="62"/>
      <c r="E2385" s="76">
        <f ca="1">IFERROR(__xludf.DUMMYFUNCTION("""COMPUTED_VALUE"""),0)</f>
        <v>0</v>
      </c>
      <c r="F2385" s="77"/>
      <c r="G2385" s="77" t="str">
        <f t="shared" si="9"/>
        <v>si</v>
      </c>
    </row>
    <row r="2386" spans="1:7" ht="12.75" x14ac:dyDescent="0.2">
      <c r="A2386" s="62"/>
      <c r="B2386" s="62"/>
      <c r="C2386" s="62"/>
      <c r="D2386" s="62"/>
      <c r="E2386" s="76">
        <f ca="1">IFERROR(__xludf.DUMMYFUNCTION("""COMPUTED_VALUE"""),0)</f>
        <v>0</v>
      </c>
      <c r="F2386" s="77"/>
      <c r="G2386" s="77" t="str">
        <f t="shared" si="9"/>
        <v>si</v>
      </c>
    </row>
    <row r="2387" spans="1:7" ht="12.75" x14ac:dyDescent="0.2">
      <c r="A2387" s="62"/>
      <c r="B2387" s="62"/>
      <c r="C2387" s="62"/>
      <c r="D2387" s="62"/>
      <c r="E2387" s="76">
        <f ca="1">IFERROR(__xludf.DUMMYFUNCTION("""COMPUTED_VALUE"""),0)</f>
        <v>0</v>
      </c>
      <c r="F2387" s="77"/>
      <c r="G2387" s="77" t="str">
        <f t="shared" si="9"/>
        <v>si</v>
      </c>
    </row>
    <row r="2388" spans="1:7" ht="12.75" x14ac:dyDescent="0.2">
      <c r="A2388" s="62"/>
      <c r="B2388" s="62"/>
      <c r="C2388" s="62"/>
      <c r="D2388" s="62"/>
      <c r="E2388" s="76">
        <f ca="1">IFERROR(__xludf.DUMMYFUNCTION("""COMPUTED_VALUE"""),0)</f>
        <v>0</v>
      </c>
      <c r="F2388" s="77"/>
      <c r="G2388" s="77" t="str">
        <f t="shared" si="9"/>
        <v>si</v>
      </c>
    </row>
    <row r="2389" spans="1:7" ht="12.75" x14ac:dyDescent="0.2">
      <c r="A2389" s="62"/>
      <c r="B2389" s="62"/>
      <c r="C2389" s="62"/>
      <c r="D2389" s="62"/>
      <c r="E2389" s="76">
        <f ca="1">IFERROR(__xludf.DUMMYFUNCTION("""COMPUTED_VALUE"""),0)</f>
        <v>0</v>
      </c>
      <c r="F2389" s="77"/>
      <c r="G2389" s="77" t="str">
        <f t="shared" si="9"/>
        <v>si</v>
      </c>
    </row>
    <row r="2390" spans="1:7" ht="12.75" x14ac:dyDescent="0.2">
      <c r="A2390" s="62"/>
      <c r="B2390" s="62"/>
      <c r="C2390" s="62"/>
      <c r="D2390" s="62"/>
      <c r="E2390" s="76">
        <f ca="1">IFERROR(__xludf.DUMMYFUNCTION("""COMPUTED_VALUE"""),0)</f>
        <v>0</v>
      </c>
      <c r="F2390" s="77"/>
      <c r="G2390" s="77" t="str">
        <f t="shared" si="9"/>
        <v>si</v>
      </c>
    </row>
    <row r="2391" spans="1:7" ht="12.75" x14ac:dyDescent="0.2">
      <c r="A2391" s="62"/>
      <c r="B2391" s="62"/>
      <c r="C2391" s="62"/>
      <c r="D2391" s="62"/>
      <c r="E2391" s="76">
        <f ca="1">IFERROR(__xludf.DUMMYFUNCTION("""COMPUTED_VALUE"""),0)</f>
        <v>0</v>
      </c>
      <c r="F2391" s="77"/>
      <c r="G2391" s="77" t="str">
        <f t="shared" si="9"/>
        <v>si</v>
      </c>
    </row>
    <row r="2392" spans="1:7" ht="12.75" x14ac:dyDescent="0.2">
      <c r="A2392" s="62"/>
      <c r="B2392" s="62"/>
      <c r="C2392" s="62"/>
      <c r="D2392" s="62"/>
      <c r="E2392" s="76">
        <f ca="1">IFERROR(__xludf.DUMMYFUNCTION("""COMPUTED_VALUE"""),0)</f>
        <v>0</v>
      </c>
      <c r="F2392" s="77"/>
      <c r="G2392" s="77" t="str">
        <f t="shared" si="9"/>
        <v>si</v>
      </c>
    </row>
    <row r="2393" spans="1:7" ht="12.75" x14ac:dyDescent="0.2">
      <c r="A2393" s="62"/>
      <c r="B2393" s="62"/>
      <c r="C2393" s="62"/>
      <c r="D2393" s="62"/>
      <c r="E2393" s="76">
        <f ca="1">IFERROR(__xludf.DUMMYFUNCTION("""COMPUTED_VALUE"""),0)</f>
        <v>0</v>
      </c>
      <c r="F2393" s="77"/>
      <c r="G2393" s="77" t="str">
        <f t="shared" si="9"/>
        <v>si</v>
      </c>
    </row>
    <row r="2394" spans="1:7" ht="12.75" x14ac:dyDescent="0.2">
      <c r="A2394" s="62"/>
      <c r="B2394" s="62"/>
      <c r="C2394" s="62"/>
      <c r="D2394" s="62"/>
      <c r="E2394" s="76">
        <f ca="1">IFERROR(__xludf.DUMMYFUNCTION("""COMPUTED_VALUE"""),0)</f>
        <v>0</v>
      </c>
      <c r="F2394" s="77"/>
      <c r="G2394" s="77" t="str">
        <f t="shared" si="9"/>
        <v>si</v>
      </c>
    </row>
    <row r="2395" spans="1:7" ht="12.75" x14ac:dyDescent="0.2">
      <c r="A2395" s="62"/>
      <c r="B2395" s="62"/>
      <c r="C2395" s="62"/>
      <c r="D2395" s="62"/>
      <c r="E2395" s="76">
        <f ca="1">IFERROR(__xludf.DUMMYFUNCTION("""COMPUTED_VALUE"""),0)</f>
        <v>0</v>
      </c>
      <c r="F2395" s="77"/>
      <c r="G2395" s="77" t="str">
        <f t="shared" si="9"/>
        <v>si</v>
      </c>
    </row>
    <row r="2396" spans="1:7" ht="12.75" x14ac:dyDescent="0.2">
      <c r="A2396" s="62"/>
      <c r="B2396" s="62"/>
      <c r="C2396" s="62"/>
      <c r="D2396" s="62"/>
      <c r="E2396" s="76">
        <f ca="1">IFERROR(__xludf.DUMMYFUNCTION("""COMPUTED_VALUE"""),0)</f>
        <v>0</v>
      </c>
      <c r="F2396" s="77"/>
      <c r="G2396" s="77" t="str">
        <f t="shared" si="9"/>
        <v>si</v>
      </c>
    </row>
    <row r="2397" spans="1:7" ht="12.75" x14ac:dyDescent="0.2">
      <c r="A2397" s="62"/>
      <c r="B2397" s="62"/>
      <c r="C2397" s="62"/>
      <c r="D2397" s="62"/>
      <c r="E2397" s="76">
        <f ca="1">IFERROR(__xludf.DUMMYFUNCTION("""COMPUTED_VALUE"""),0)</f>
        <v>0</v>
      </c>
      <c r="F2397" s="77"/>
      <c r="G2397" s="77" t="str">
        <f t="shared" si="9"/>
        <v>si</v>
      </c>
    </row>
    <row r="2398" spans="1:7" ht="12.75" x14ac:dyDescent="0.2">
      <c r="A2398" s="62"/>
      <c r="B2398" s="62"/>
      <c r="C2398" s="62"/>
      <c r="D2398" s="62"/>
      <c r="E2398" s="76">
        <f ca="1">IFERROR(__xludf.DUMMYFUNCTION("""COMPUTED_VALUE"""),0)</f>
        <v>0</v>
      </c>
      <c r="F2398" s="77"/>
      <c r="G2398" s="77" t="str">
        <f t="shared" si="9"/>
        <v>si</v>
      </c>
    </row>
    <row r="2399" spans="1:7" ht="12.75" x14ac:dyDescent="0.2">
      <c r="A2399" s="62"/>
      <c r="B2399" s="62"/>
      <c r="C2399" s="62"/>
      <c r="D2399" s="62"/>
      <c r="E2399" s="76">
        <f ca="1">IFERROR(__xludf.DUMMYFUNCTION("""COMPUTED_VALUE"""),0)</f>
        <v>0</v>
      </c>
      <c r="F2399" s="77"/>
      <c r="G2399" s="77" t="str">
        <f t="shared" si="9"/>
        <v>si</v>
      </c>
    </row>
    <row r="2400" spans="1:7" ht="12.75" x14ac:dyDescent="0.2">
      <c r="A2400" s="62"/>
      <c r="B2400" s="62"/>
      <c r="C2400" s="62"/>
      <c r="D2400" s="62"/>
      <c r="E2400" s="76">
        <f ca="1">IFERROR(__xludf.DUMMYFUNCTION("""COMPUTED_VALUE"""),0)</f>
        <v>0</v>
      </c>
      <c r="F2400" s="77"/>
      <c r="G2400" s="77" t="str">
        <f t="shared" si="9"/>
        <v>si</v>
      </c>
    </row>
    <row r="2401" spans="1:7" ht="12.75" x14ac:dyDescent="0.2">
      <c r="A2401" s="62"/>
      <c r="B2401" s="62"/>
      <c r="C2401" s="62"/>
      <c r="D2401" s="62"/>
      <c r="E2401" s="76">
        <f ca="1">IFERROR(__xludf.DUMMYFUNCTION("""COMPUTED_VALUE"""),0)</f>
        <v>0</v>
      </c>
      <c r="F2401" s="77"/>
      <c r="G2401" s="77" t="str">
        <f t="shared" si="9"/>
        <v>si</v>
      </c>
    </row>
    <row r="2402" spans="1:7" ht="12.75" x14ac:dyDescent="0.2">
      <c r="A2402" s="62"/>
      <c r="B2402" s="62"/>
      <c r="C2402" s="62"/>
      <c r="D2402" s="62"/>
      <c r="E2402" s="76">
        <f ca="1">IFERROR(__xludf.DUMMYFUNCTION("""COMPUTED_VALUE"""),0)</f>
        <v>0</v>
      </c>
      <c r="F2402" s="77"/>
      <c r="G2402" s="77" t="str">
        <f t="shared" si="9"/>
        <v>si</v>
      </c>
    </row>
    <row r="2403" spans="1:7" ht="12.75" x14ac:dyDescent="0.2">
      <c r="A2403" s="62"/>
      <c r="B2403" s="62"/>
      <c r="C2403" s="62"/>
      <c r="D2403" s="62"/>
      <c r="E2403" s="76">
        <f ca="1">IFERROR(__xludf.DUMMYFUNCTION("""COMPUTED_VALUE"""),0)</f>
        <v>0</v>
      </c>
      <c r="F2403" s="77"/>
      <c r="G2403" s="77" t="str">
        <f t="shared" si="9"/>
        <v>si</v>
      </c>
    </row>
    <row r="2404" spans="1:7" ht="12.75" x14ac:dyDescent="0.2">
      <c r="A2404" s="62"/>
      <c r="B2404" s="62"/>
      <c r="C2404" s="62"/>
      <c r="D2404" s="62"/>
      <c r="E2404" s="76">
        <f ca="1">IFERROR(__xludf.DUMMYFUNCTION("""COMPUTED_VALUE"""),0)</f>
        <v>0</v>
      </c>
      <c r="F2404" s="77"/>
      <c r="G2404" s="77" t="str">
        <f t="shared" si="9"/>
        <v>si</v>
      </c>
    </row>
    <row r="2405" spans="1:7" ht="12.75" x14ac:dyDescent="0.2">
      <c r="A2405" s="62"/>
      <c r="B2405" s="62"/>
      <c r="C2405" s="62"/>
      <c r="D2405" s="62"/>
      <c r="E2405" s="76">
        <f ca="1">IFERROR(__xludf.DUMMYFUNCTION("""COMPUTED_VALUE"""),0)</f>
        <v>0</v>
      </c>
      <c r="F2405" s="77"/>
      <c r="G2405" s="77" t="str">
        <f t="shared" si="9"/>
        <v>si</v>
      </c>
    </row>
    <row r="2406" spans="1:7" ht="12.75" x14ac:dyDescent="0.2">
      <c r="A2406" s="62"/>
      <c r="B2406" s="62"/>
      <c r="C2406" s="62"/>
      <c r="D2406" s="62"/>
      <c r="E2406" s="76">
        <f ca="1">IFERROR(__xludf.DUMMYFUNCTION("""COMPUTED_VALUE"""),0)</f>
        <v>0</v>
      </c>
      <c r="F2406" s="77"/>
      <c r="G2406" s="77" t="str">
        <f t="shared" si="9"/>
        <v>si</v>
      </c>
    </row>
    <row r="2407" spans="1:7" ht="12.75" x14ac:dyDescent="0.2">
      <c r="A2407" s="62"/>
      <c r="B2407" s="62"/>
      <c r="C2407" s="62"/>
      <c r="D2407" s="62"/>
      <c r="E2407" s="76">
        <f ca="1">IFERROR(__xludf.DUMMYFUNCTION("""COMPUTED_VALUE"""),0)</f>
        <v>0</v>
      </c>
      <c r="F2407" s="77"/>
      <c r="G2407" s="77" t="str">
        <f t="shared" si="9"/>
        <v>si</v>
      </c>
    </row>
    <row r="2408" spans="1:7" ht="12.75" x14ac:dyDescent="0.2">
      <c r="A2408" s="62"/>
      <c r="B2408" s="62"/>
      <c r="C2408" s="62"/>
      <c r="D2408" s="62"/>
      <c r="E2408" s="76">
        <f ca="1">IFERROR(__xludf.DUMMYFUNCTION("""COMPUTED_VALUE"""),0)</f>
        <v>0</v>
      </c>
      <c r="F2408" s="77"/>
      <c r="G2408" s="77" t="str">
        <f t="shared" si="9"/>
        <v>si</v>
      </c>
    </row>
    <row r="2409" spans="1:7" ht="12.75" x14ac:dyDescent="0.2">
      <c r="A2409" s="62"/>
      <c r="B2409" s="62"/>
      <c r="C2409" s="62"/>
      <c r="D2409" s="62"/>
      <c r="E2409" s="76">
        <f ca="1">IFERROR(__xludf.DUMMYFUNCTION("""COMPUTED_VALUE"""),0)</f>
        <v>0</v>
      </c>
      <c r="F2409" s="77"/>
      <c r="G2409" s="77" t="str">
        <f t="shared" si="9"/>
        <v>si</v>
      </c>
    </row>
    <row r="2410" spans="1:7" ht="12.75" x14ac:dyDescent="0.2">
      <c r="A2410" s="62"/>
      <c r="B2410" s="62"/>
      <c r="C2410" s="62"/>
      <c r="D2410" s="62"/>
      <c r="E2410" s="76">
        <f ca="1">IFERROR(__xludf.DUMMYFUNCTION("""COMPUTED_VALUE"""),0)</f>
        <v>0</v>
      </c>
      <c r="F2410" s="77"/>
      <c r="G2410" s="77" t="str">
        <f t="shared" si="9"/>
        <v>si</v>
      </c>
    </row>
    <row r="2411" spans="1:7" ht="12.75" x14ac:dyDescent="0.2">
      <c r="A2411" s="62"/>
      <c r="B2411" s="62"/>
      <c r="C2411" s="62"/>
      <c r="D2411" s="62"/>
      <c r="E2411" s="76">
        <f ca="1">IFERROR(__xludf.DUMMYFUNCTION("""COMPUTED_VALUE"""),0)</f>
        <v>0</v>
      </c>
      <c r="F2411" s="77"/>
      <c r="G2411" s="77" t="str">
        <f t="shared" si="9"/>
        <v>si</v>
      </c>
    </row>
    <row r="2412" spans="1:7" ht="12.75" x14ac:dyDescent="0.2">
      <c r="A2412" s="62"/>
      <c r="B2412" s="62"/>
      <c r="C2412" s="62"/>
      <c r="D2412" s="62"/>
      <c r="E2412" s="76">
        <f ca="1">IFERROR(__xludf.DUMMYFUNCTION("""COMPUTED_VALUE"""),0)</f>
        <v>0</v>
      </c>
      <c r="F2412" s="77"/>
      <c r="G2412" s="77" t="str">
        <f t="shared" si="9"/>
        <v>si</v>
      </c>
    </row>
    <row r="2413" spans="1:7" ht="12.75" x14ac:dyDescent="0.2">
      <c r="A2413" s="62"/>
      <c r="B2413" s="62"/>
      <c r="C2413" s="62"/>
      <c r="D2413" s="62"/>
      <c r="E2413" s="76">
        <f ca="1">IFERROR(__xludf.DUMMYFUNCTION("""COMPUTED_VALUE"""),0)</f>
        <v>0</v>
      </c>
      <c r="F2413" s="77"/>
      <c r="G2413" s="77" t="str">
        <f t="shared" si="9"/>
        <v>si</v>
      </c>
    </row>
    <row r="2414" spans="1:7" ht="12.75" x14ac:dyDescent="0.2">
      <c r="A2414" s="62"/>
      <c r="B2414" s="62"/>
      <c r="C2414" s="62"/>
      <c r="D2414" s="62"/>
      <c r="E2414" s="76">
        <f ca="1">IFERROR(__xludf.DUMMYFUNCTION("""COMPUTED_VALUE"""),0)</f>
        <v>0</v>
      </c>
      <c r="F2414" s="77"/>
      <c r="G2414" s="77" t="str">
        <f t="shared" si="9"/>
        <v>si</v>
      </c>
    </row>
    <row r="2415" spans="1:7" ht="12.75" x14ac:dyDescent="0.2">
      <c r="A2415" s="62"/>
      <c r="B2415" s="62"/>
      <c r="C2415" s="62"/>
      <c r="D2415" s="62"/>
      <c r="E2415" s="76">
        <f ca="1">IFERROR(__xludf.DUMMYFUNCTION("""COMPUTED_VALUE"""),0)</f>
        <v>0</v>
      </c>
      <c r="F2415" s="77"/>
      <c r="G2415" s="77" t="str">
        <f t="shared" si="9"/>
        <v>si</v>
      </c>
    </row>
    <row r="2416" spans="1:7" ht="12.75" x14ac:dyDescent="0.2">
      <c r="A2416" s="62"/>
      <c r="B2416" s="62"/>
      <c r="C2416" s="62"/>
      <c r="D2416" s="62"/>
      <c r="E2416" s="76">
        <f ca="1">IFERROR(__xludf.DUMMYFUNCTION("""COMPUTED_VALUE"""),0)</f>
        <v>0</v>
      </c>
      <c r="F2416" s="77"/>
      <c r="G2416" s="77" t="str">
        <f t="shared" si="9"/>
        <v>si</v>
      </c>
    </row>
    <row r="2417" spans="1:7" ht="12.75" x14ac:dyDescent="0.2">
      <c r="A2417" s="62"/>
      <c r="B2417" s="62"/>
      <c r="C2417" s="62"/>
      <c r="D2417" s="62"/>
      <c r="E2417" s="76">
        <f ca="1">IFERROR(__xludf.DUMMYFUNCTION("""COMPUTED_VALUE"""),0)</f>
        <v>0</v>
      </c>
      <c r="F2417" s="77"/>
      <c r="G2417" s="77" t="str">
        <f t="shared" si="9"/>
        <v>si</v>
      </c>
    </row>
    <row r="2418" spans="1:7" ht="12.75" x14ac:dyDescent="0.2">
      <c r="A2418" s="62"/>
      <c r="B2418" s="62"/>
      <c r="C2418" s="62"/>
      <c r="D2418" s="62"/>
      <c r="E2418" s="76">
        <f ca="1">IFERROR(__xludf.DUMMYFUNCTION("""COMPUTED_VALUE"""),0)</f>
        <v>0</v>
      </c>
      <c r="F2418" s="77"/>
      <c r="G2418" s="77" t="str">
        <f t="shared" si="9"/>
        <v>si</v>
      </c>
    </row>
    <row r="2419" spans="1:7" ht="12.75" x14ac:dyDescent="0.2">
      <c r="A2419" s="62"/>
      <c r="B2419" s="62"/>
      <c r="C2419" s="62"/>
      <c r="D2419" s="62"/>
      <c r="E2419" s="76">
        <f ca="1">IFERROR(__xludf.DUMMYFUNCTION("""COMPUTED_VALUE"""),0)</f>
        <v>0</v>
      </c>
      <c r="F2419" s="77"/>
      <c r="G2419" s="77" t="str">
        <f t="shared" si="9"/>
        <v>si</v>
      </c>
    </row>
    <row r="2420" spans="1:7" ht="12.75" x14ac:dyDescent="0.2">
      <c r="A2420" s="62"/>
      <c r="B2420" s="62"/>
      <c r="C2420" s="62"/>
      <c r="D2420" s="62"/>
      <c r="E2420" s="76">
        <f ca="1">IFERROR(__xludf.DUMMYFUNCTION("""COMPUTED_VALUE"""),0)</f>
        <v>0</v>
      </c>
      <c r="F2420" s="77"/>
      <c r="G2420" s="77" t="str">
        <f t="shared" si="9"/>
        <v>si</v>
      </c>
    </row>
    <row r="2421" spans="1:7" ht="12.75" x14ac:dyDescent="0.2">
      <c r="A2421" s="62"/>
      <c r="B2421" s="62"/>
      <c r="C2421" s="62"/>
      <c r="D2421" s="62"/>
      <c r="E2421" s="76">
        <f ca="1">IFERROR(__xludf.DUMMYFUNCTION("""COMPUTED_VALUE"""),0)</f>
        <v>0</v>
      </c>
      <c r="F2421" s="77"/>
      <c r="G2421" s="77" t="str">
        <f t="shared" si="9"/>
        <v>si</v>
      </c>
    </row>
    <row r="2422" spans="1:7" ht="12.75" x14ac:dyDescent="0.2">
      <c r="A2422" s="62"/>
      <c r="B2422" s="62"/>
      <c r="C2422" s="62"/>
      <c r="D2422" s="62"/>
      <c r="E2422" s="76">
        <f ca="1">IFERROR(__xludf.DUMMYFUNCTION("""COMPUTED_VALUE"""),0)</f>
        <v>0</v>
      </c>
      <c r="F2422" s="77"/>
      <c r="G2422" s="77" t="str">
        <f t="shared" si="9"/>
        <v>si</v>
      </c>
    </row>
    <row r="2423" spans="1:7" ht="12.75" x14ac:dyDescent="0.2">
      <c r="A2423" s="62"/>
      <c r="B2423" s="62"/>
      <c r="C2423" s="62"/>
      <c r="D2423" s="62"/>
      <c r="E2423" s="76">
        <f ca="1">IFERROR(__xludf.DUMMYFUNCTION("""COMPUTED_VALUE"""),0)</f>
        <v>0</v>
      </c>
      <c r="F2423" s="77"/>
      <c r="G2423" s="77" t="str">
        <f t="shared" si="9"/>
        <v>si</v>
      </c>
    </row>
    <row r="2424" spans="1:7" ht="12.75" x14ac:dyDescent="0.2">
      <c r="A2424" s="62"/>
      <c r="B2424" s="62"/>
      <c r="C2424" s="62"/>
      <c r="D2424" s="62"/>
      <c r="E2424" s="76">
        <f ca="1">IFERROR(__xludf.DUMMYFUNCTION("""COMPUTED_VALUE"""),0)</f>
        <v>0</v>
      </c>
      <c r="F2424" s="77"/>
      <c r="G2424" s="77"/>
    </row>
    <row r="2425" spans="1:7" ht="12.75" x14ac:dyDescent="0.2">
      <c r="A2425" s="62"/>
      <c r="B2425" s="62"/>
      <c r="C2425" s="62"/>
      <c r="D2425" s="62"/>
      <c r="E2425" s="76">
        <f ca="1">IFERROR(__xludf.DUMMYFUNCTION("""COMPUTED_VALUE"""),0)</f>
        <v>0</v>
      </c>
      <c r="F2425" s="77"/>
      <c r="G2425" s="77"/>
    </row>
    <row r="2426" spans="1:7" ht="12.75" x14ac:dyDescent="0.2">
      <c r="A2426" s="62"/>
      <c r="B2426" s="62"/>
      <c r="C2426" s="62"/>
      <c r="D2426" s="62"/>
      <c r="E2426" s="76">
        <f ca="1">IFERROR(__xludf.DUMMYFUNCTION("""COMPUTED_VALUE"""),0)</f>
        <v>0</v>
      </c>
      <c r="F2426" s="77"/>
      <c r="G2426" s="77"/>
    </row>
    <row r="2427" spans="1:7" ht="12.75" x14ac:dyDescent="0.2">
      <c r="A2427" s="62"/>
      <c r="B2427" s="62"/>
      <c r="C2427" s="62"/>
      <c r="D2427" s="62"/>
      <c r="E2427" s="76">
        <f ca="1">IFERROR(__xludf.DUMMYFUNCTION("""COMPUTED_VALUE"""),0)</f>
        <v>0</v>
      </c>
      <c r="F2427" s="77"/>
      <c r="G2427" s="77"/>
    </row>
    <row r="2428" spans="1:7" ht="12.75" x14ac:dyDescent="0.2">
      <c r="A2428" s="62"/>
      <c r="B2428" s="62"/>
      <c r="C2428" s="62"/>
      <c r="D2428" s="62"/>
      <c r="E2428" s="76">
        <f ca="1">IFERROR(__xludf.DUMMYFUNCTION("""COMPUTED_VALUE"""),0)</f>
        <v>0</v>
      </c>
      <c r="F2428" s="77"/>
      <c r="G2428" s="77"/>
    </row>
    <row r="2429" spans="1:7" ht="12.75" x14ac:dyDescent="0.2">
      <c r="A2429" s="62"/>
      <c r="B2429" s="62"/>
      <c r="C2429" s="62"/>
      <c r="D2429" s="62"/>
      <c r="E2429" s="76">
        <f ca="1">IFERROR(__xludf.DUMMYFUNCTION("""COMPUTED_VALUE"""),0)</f>
        <v>0</v>
      </c>
      <c r="F2429" s="77"/>
      <c r="G2429" s="77"/>
    </row>
    <row r="2430" spans="1:7" ht="12.75" x14ac:dyDescent="0.2">
      <c r="A2430" s="62"/>
      <c r="B2430" s="62"/>
      <c r="C2430" s="62"/>
      <c r="D2430" s="62"/>
      <c r="E2430" s="76">
        <f ca="1">IFERROR(__xludf.DUMMYFUNCTION("""COMPUTED_VALUE"""),0)</f>
        <v>0</v>
      </c>
      <c r="F2430" s="77"/>
      <c r="G2430" s="77"/>
    </row>
    <row r="2431" spans="1:7" ht="12.75" x14ac:dyDescent="0.2">
      <c r="A2431" s="62"/>
      <c r="B2431" s="62"/>
      <c r="C2431" s="62"/>
      <c r="D2431" s="62"/>
      <c r="E2431" s="76">
        <f ca="1">IFERROR(__xludf.DUMMYFUNCTION("""COMPUTED_VALUE"""),0)</f>
        <v>0</v>
      </c>
      <c r="F2431" s="77"/>
      <c r="G2431" s="77"/>
    </row>
    <row r="2432" spans="1:7" ht="12.75" x14ac:dyDescent="0.2">
      <c r="A2432" s="62"/>
      <c r="B2432" s="62"/>
      <c r="C2432" s="62"/>
      <c r="D2432" s="62"/>
      <c r="E2432" s="76">
        <f ca="1">IFERROR(__xludf.DUMMYFUNCTION("""COMPUTED_VALUE"""),0)</f>
        <v>0</v>
      </c>
      <c r="F2432" s="77"/>
      <c r="G2432" s="77"/>
    </row>
    <row r="2433" spans="1:7" ht="12.75" x14ac:dyDescent="0.2">
      <c r="A2433" s="62"/>
      <c r="B2433" s="62"/>
      <c r="C2433" s="62"/>
      <c r="D2433" s="62"/>
      <c r="E2433" s="76">
        <f ca="1">IFERROR(__xludf.DUMMYFUNCTION("""COMPUTED_VALUE"""),0)</f>
        <v>0</v>
      </c>
      <c r="F2433" s="77"/>
      <c r="G2433" s="77"/>
    </row>
    <row r="2434" spans="1:7" ht="12.75" x14ac:dyDescent="0.2">
      <c r="A2434" s="62"/>
      <c r="B2434" s="62"/>
      <c r="C2434" s="62"/>
      <c r="D2434" s="62"/>
      <c r="E2434" s="76">
        <f ca="1">IFERROR(__xludf.DUMMYFUNCTION("""COMPUTED_VALUE"""),0)</f>
        <v>0</v>
      </c>
      <c r="F2434" s="77"/>
      <c r="G2434" s="77"/>
    </row>
    <row r="2435" spans="1:7" ht="12.75" x14ac:dyDescent="0.2">
      <c r="A2435" s="62"/>
      <c r="B2435" s="62"/>
      <c r="C2435" s="62"/>
      <c r="D2435" s="62"/>
      <c r="E2435" s="76">
        <f ca="1">IFERROR(__xludf.DUMMYFUNCTION("""COMPUTED_VALUE"""),0)</f>
        <v>0</v>
      </c>
      <c r="F2435" s="77"/>
      <c r="G2435" s="77"/>
    </row>
    <row r="2436" spans="1:7" ht="12.75" x14ac:dyDescent="0.2">
      <c r="A2436" s="62"/>
      <c r="B2436" s="62"/>
      <c r="C2436" s="62"/>
      <c r="D2436" s="62"/>
      <c r="E2436" s="76">
        <f ca="1">IFERROR(__xludf.DUMMYFUNCTION("""COMPUTED_VALUE"""),0)</f>
        <v>0</v>
      </c>
      <c r="F2436" s="77"/>
      <c r="G2436" s="77"/>
    </row>
    <row r="2437" spans="1:7" ht="12.75" x14ac:dyDescent="0.2">
      <c r="A2437" s="62"/>
      <c r="B2437" s="62"/>
      <c r="C2437" s="62"/>
      <c r="D2437" s="62"/>
      <c r="E2437" s="76">
        <f ca="1">IFERROR(__xludf.DUMMYFUNCTION("""COMPUTED_VALUE"""),0)</f>
        <v>0</v>
      </c>
      <c r="F2437" s="77"/>
      <c r="G2437" s="77"/>
    </row>
    <row r="2438" spans="1:7" ht="12.75" x14ac:dyDescent="0.2">
      <c r="A2438" s="62"/>
      <c r="B2438" s="62"/>
      <c r="C2438" s="62"/>
      <c r="D2438" s="62"/>
      <c r="E2438" s="76">
        <f ca="1">IFERROR(__xludf.DUMMYFUNCTION("""COMPUTED_VALUE"""),0)</f>
        <v>0</v>
      </c>
      <c r="F2438" s="77"/>
      <c r="G2438" s="77"/>
    </row>
    <row r="2439" spans="1:7" ht="12.75" x14ac:dyDescent="0.2">
      <c r="A2439" s="62"/>
      <c r="B2439" s="62"/>
      <c r="C2439" s="62"/>
      <c r="D2439" s="62"/>
      <c r="E2439" s="76">
        <f ca="1">IFERROR(__xludf.DUMMYFUNCTION("""COMPUTED_VALUE"""),0)</f>
        <v>0</v>
      </c>
      <c r="F2439" s="77"/>
      <c r="G2439" s="77"/>
    </row>
    <row r="2440" spans="1:7" ht="12.75" x14ac:dyDescent="0.2">
      <c r="A2440" s="62"/>
      <c r="B2440" s="62"/>
      <c r="C2440" s="62"/>
      <c r="D2440" s="62"/>
      <c r="E2440" s="76">
        <f ca="1">IFERROR(__xludf.DUMMYFUNCTION("""COMPUTED_VALUE"""),0)</f>
        <v>0</v>
      </c>
      <c r="F2440" s="77"/>
      <c r="G2440" s="77"/>
    </row>
    <row r="2441" spans="1:7" ht="12.75" x14ac:dyDescent="0.2">
      <c r="A2441" s="62"/>
      <c r="B2441" s="62"/>
      <c r="C2441" s="62"/>
      <c r="D2441" s="62"/>
      <c r="E2441" s="76">
        <f ca="1">IFERROR(__xludf.DUMMYFUNCTION("""COMPUTED_VALUE"""),0)</f>
        <v>0</v>
      </c>
      <c r="F2441" s="77"/>
      <c r="G2441" s="77"/>
    </row>
    <row r="2442" spans="1:7" ht="12.75" x14ac:dyDescent="0.2">
      <c r="A2442" s="62"/>
      <c r="B2442" s="62"/>
      <c r="C2442" s="62"/>
      <c r="D2442" s="62"/>
      <c r="E2442" s="76">
        <f ca="1">IFERROR(__xludf.DUMMYFUNCTION("""COMPUTED_VALUE"""),0)</f>
        <v>0</v>
      </c>
      <c r="F2442" s="77"/>
      <c r="G2442" s="77"/>
    </row>
    <row r="2443" spans="1:7" ht="12.75" x14ac:dyDescent="0.2">
      <c r="A2443" s="62"/>
      <c r="B2443" s="62"/>
      <c r="C2443" s="62"/>
      <c r="D2443" s="62"/>
      <c r="E2443" s="76">
        <f ca="1">IFERROR(__xludf.DUMMYFUNCTION("""COMPUTED_VALUE"""),0)</f>
        <v>0</v>
      </c>
      <c r="F2443" s="77"/>
      <c r="G2443" s="77"/>
    </row>
    <row r="2444" spans="1:7" ht="12.75" x14ac:dyDescent="0.2">
      <c r="A2444" s="62"/>
      <c r="B2444" s="62"/>
      <c r="C2444" s="62"/>
      <c r="D2444" s="62"/>
      <c r="E2444" s="76">
        <f ca="1">IFERROR(__xludf.DUMMYFUNCTION("""COMPUTED_VALUE"""),0)</f>
        <v>0</v>
      </c>
      <c r="F2444" s="77"/>
      <c r="G2444" s="77"/>
    </row>
    <row r="2445" spans="1:7" ht="12.75" x14ac:dyDescent="0.2">
      <c r="A2445" s="62"/>
      <c r="B2445" s="62"/>
      <c r="C2445" s="62"/>
      <c r="D2445" s="62"/>
      <c r="E2445" s="76">
        <f ca="1">IFERROR(__xludf.DUMMYFUNCTION("""COMPUTED_VALUE"""),0)</f>
        <v>0</v>
      </c>
      <c r="F2445" s="77"/>
      <c r="G2445" s="77"/>
    </row>
    <row r="2446" spans="1:7" ht="12.75" x14ac:dyDescent="0.2">
      <c r="A2446" s="62"/>
      <c r="B2446" s="62"/>
      <c r="C2446" s="62"/>
      <c r="D2446" s="62"/>
      <c r="E2446" s="76">
        <f ca="1">IFERROR(__xludf.DUMMYFUNCTION("""COMPUTED_VALUE"""),0)</f>
        <v>0</v>
      </c>
      <c r="F2446" s="77"/>
      <c r="G2446" s="77"/>
    </row>
    <row r="2447" spans="1:7" ht="12.75" x14ac:dyDescent="0.2">
      <c r="A2447" s="62"/>
      <c r="B2447" s="62"/>
      <c r="C2447" s="62"/>
      <c r="D2447" s="62"/>
      <c r="E2447" s="76">
        <f ca="1">IFERROR(__xludf.DUMMYFUNCTION("""COMPUTED_VALUE"""),0)</f>
        <v>0</v>
      </c>
      <c r="F2447" s="77"/>
      <c r="G2447" s="77"/>
    </row>
    <row r="2448" spans="1:7" ht="12.75" x14ac:dyDescent="0.2">
      <c r="A2448" s="62"/>
      <c r="B2448" s="62"/>
      <c r="C2448" s="62"/>
      <c r="D2448" s="62"/>
      <c r="E2448" s="76">
        <f ca="1">IFERROR(__xludf.DUMMYFUNCTION("""COMPUTED_VALUE"""),0)</f>
        <v>0</v>
      </c>
      <c r="F2448" s="77"/>
      <c r="G2448" s="77"/>
    </row>
    <row r="2449" spans="1:7" ht="12.75" x14ac:dyDescent="0.2">
      <c r="A2449" s="62"/>
      <c r="B2449" s="62"/>
      <c r="C2449" s="62"/>
      <c r="D2449" s="62"/>
      <c r="E2449" s="76">
        <f ca="1">IFERROR(__xludf.DUMMYFUNCTION("""COMPUTED_VALUE"""),0)</f>
        <v>0</v>
      </c>
      <c r="F2449" s="77"/>
      <c r="G2449" s="77"/>
    </row>
    <row r="2450" spans="1:7" ht="12.75" x14ac:dyDescent="0.2">
      <c r="A2450" s="62"/>
      <c r="B2450" s="62"/>
      <c r="C2450" s="62"/>
      <c r="D2450" s="62"/>
      <c r="E2450" s="76">
        <f ca="1">IFERROR(__xludf.DUMMYFUNCTION("""COMPUTED_VALUE"""),0)</f>
        <v>0</v>
      </c>
      <c r="F2450" s="77"/>
      <c r="G2450" s="77"/>
    </row>
    <row r="2451" spans="1:7" ht="12.75" x14ac:dyDescent="0.2">
      <c r="A2451" s="62"/>
      <c r="B2451" s="62"/>
      <c r="C2451" s="62"/>
      <c r="D2451" s="62"/>
      <c r="E2451" s="76">
        <f ca="1">IFERROR(__xludf.DUMMYFUNCTION("""COMPUTED_VALUE"""),0)</f>
        <v>0</v>
      </c>
      <c r="F2451" s="77"/>
      <c r="G2451" s="77"/>
    </row>
    <row r="2452" spans="1:7" ht="12.75" x14ac:dyDescent="0.2">
      <c r="A2452" s="62"/>
      <c r="B2452" s="62"/>
      <c r="C2452" s="62"/>
      <c r="D2452" s="62"/>
      <c r="E2452" s="76">
        <f ca="1">IFERROR(__xludf.DUMMYFUNCTION("""COMPUTED_VALUE"""),0)</f>
        <v>0</v>
      </c>
      <c r="F2452" s="77"/>
      <c r="G2452" s="77"/>
    </row>
    <row r="2453" spans="1:7" ht="12.75" x14ac:dyDescent="0.2">
      <c r="A2453" s="62"/>
      <c r="B2453" s="62"/>
      <c r="C2453" s="62"/>
      <c r="D2453" s="62"/>
      <c r="E2453" s="76">
        <f ca="1">IFERROR(__xludf.DUMMYFUNCTION("""COMPUTED_VALUE"""),0)</f>
        <v>0</v>
      </c>
      <c r="F2453" s="77"/>
      <c r="G2453" s="77"/>
    </row>
    <row r="2454" spans="1:7" ht="12.75" x14ac:dyDescent="0.2">
      <c r="A2454" s="62"/>
      <c r="B2454" s="62"/>
      <c r="C2454" s="62"/>
      <c r="D2454" s="62"/>
      <c r="E2454" s="76">
        <f ca="1">IFERROR(__xludf.DUMMYFUNCTION("""COMPUTED_VALUE"""),0)</f>
        <v>0</v>
      </c>
      <c r="F2454" s="77"/>
      <c r="G2454" s="77"/>
    </row>
    <row r="2455" spans="1:7" ht="12.75" x14ac:dyDescent="0.2">
      <c r="A2455" s="62"/>
      <c r="B2455" s="62"/>
      <c r="C2455" s="62"/>
      <c r="D2455" s="62"/>
      <c r="E2455" s="76">
        <f ca="1">IFERROR(__xludf.DUMMYFUNCTION("""COMPUTED_VALUE"""),0)</f>
        <v>0</v>
      </c>
      <c r="F2455" s="77"/>
      <c r="G2455" s="77"/>
    </row>
    <row r="2456" spans="1:7" ht="12.75" x14ac:dyDescent="0.2">
      <c r="A2456" s="62"/>
      <c r="B2456" s="62"/>
      <c r="C2456" s="62"/>
      <c r="D2456" s="62"/>
      <c r="E2456" s="76">
        <f ca="1">IFERROR(__xludf.DUMMYFUNCTION("""COMPUTED_VALUE"""),0)</f>
        <v>0</v>
      </c>
      <c r="F2456" s="77"/>
      <c r="G2456" s="77"/>
    </row>
    <row r="2457" spans="1:7" ht="12.75" x14ac:dyDescent="0.2">
      <c r="A2457" s="62"/>
      <c r="B2457" s="62"/>
      <c r="C2457" s="62"/>
      <c r="D2457" s="62"/>
      <c r="E2457" s="76">
        <f ca="1">IFERROR(__xludf.DUMMYFUNCTION("""COMPUTED_VALUE"""),0)</f>
        <v>0</v>
      </c>
      <c r="F2457" s="77"/>
      <c r="G2457" s="77"/>
    </row>
    <row r="2458" spans="1:7" ht="12.75" x14ac:dyDescent="0.2">
      <c r="A2458" s="62"/>
      <c r="B2458" s="62"/>
      <c r="C2458" s="62"/>
      <c r="D2458" s="62"/>
      <c r="E2458" s="76">
        <f ca="1">IFERROR(__xludf.DUMMYFUNCTION("""COMPUTED_VALUE"""),0)</f>
        <v>0</v>
      </c>
      <c r="F2458" s="77"/>
      <c r="G2458" s="77"/>
    </row>
    <row r="2459" spans="1:7" ht="12.75" x14ac:dyDescent="0.2">
      <c r="A2459" s="62"/>
      <c r="B2459" s="62"/>
      <c r="C2459" s="62"/>
      <c r="D2459" s="62"/>
      <c r="E2459" s="76">
        <f ca="1">IFERROR(__xludf.DUMMYFUNCTION("""COMPUTED_VALUE"""),0)</f>
        <v>0</v>
      </c>
      <c r="F2459" s="77"/>
      <c r="G2459" s="77"/>
    </row>
    <row r="2460" spans="1:7" ht="12.75" x14ac:dyDescent="0.2">
      <c r="A2460" s="62"/>
      <c r="B2460" s="62"/>
      <c r="C2460" s="62"/>
      <c r="D2460" s="62"/>
      <c r="E2460" s="76">
        <f ca="1">IFERROR(__xludf.DUMMYFUNCTION("""COMPUTED_VALUE"""),0)</f>
        <v>0</v>
      </c>
      <c r="F2460" s="77"/>
      <c r="G2460" s="77"/>
    </row>
    <row r="2461" spans="1:7" ht="12.75" x14ac:dyDescent="0.2">
      <c r="A2461" s="62"/>
      <c r="B2461" s="62"/>
      <c r="C2461" s="62"/>
      <c r="D2461" s="62"/>
      <c r="E2461" s="76">
        <f ca="1">IFERROR(__xludf.DUMMYFUNCTION("""COMPUTED_VALUE"""),0)</f>
        <v>0</v>
      </c>
      <c r="F2461" s="77"/>
      <c r="G2461" s="77"/>
    </row>
    <row r="2462" spans="1:7" ht="12.75" x14ac:dyDescent="0.2">
      <c r="A2462" s="62"/>
      <c r="B2462" s="62"/>
      <c r="C2462" s="62"/>
      <c r="D2462" s="62"/>
      <c r="E2462" s="76">
        <f ca="1">IFERROR(__xludf.DUMMYFUNCTION("""COMPUTED_VALUE"""),0)</f>
        <v>0</v>
      </c>
      <c r="F2462" s="77"/>
      <c r="G2462" s="77"/>
    </row>
    <row r="2463" spans="1:7" ht="12.75" x14ac:dyDescent="0.2">
      <c r="A2463" s="62"/>
      <c r="B2463" s="62"/>
      <c r="C2463" s="62"/>
      <c r="D2463" s="62"/>
      <c r="E2463" s="76">
        <f ca="1">IFERROR(__xludf.DUMMYFUNCTION("""COMPUTED_VALUE"""),0)</f>
        <v>0</v>
      </c>
      <c r="F2463" s="77"/>
      <c r="G2463" s="77"/>
    </row>
    <row r="2464" spans="1:7" ht="12.75" x14ac:dyDescent="0.2">
      <c r="A2464" s="62"/>
      <c r="B2464" s="62"/>
      <c r="C2464" s="62"/>
      <c r="D2464" s="62"/>
      <c r="E2464" s="76">
        <f ca="1">IFERROR(__xludf.DUMMYFUNCTION("""COMPUTED_VALUE"""),0)</f>
        <v>0</v>
      </c>
      <c r="F2464" s="77"/>
      <c r="G2464" s="77"/>
    </row>
    <row r="2465" spans="1:7" ht="12.75" x14ac:dyDescent="0.2">
      <c r="A2465" s="62"/>
      <c r="B2465" s="62"/>
      <c r="C2465" s="62"/>
      <c r="D2465" s="62"/>
      <c r="E2465" s="76">
        <f ca="1">IFERROR(__xludf.DUMMYFUNCTION("""COMPUTED_VALUE"""),0)</f>
        <v>0</v>
      </c>
      <c r="F2465" s="77"/>
      <c r="G2465" s="77"/>
    </row>
    <row r="2466" spans="1:7" ht="12.75" x14ac:dyDescent="0.2">
      <c r="A2466" s="62"/>
      <c r="B2466" s="62"/>
      <c r="C2466" s="62"/>
      <c r="D2466" s="62"/>
      <c r="E2466" s="76">
        <f ca="1">IFERROR(__xludf.DUMMYFUNCTION("""COMPUTED_VALUE"""),0)</f>
        <v>0</v>
      </c>
      <c r="F2466" s="77"/>
      <c r="G2466" s="77"/>
    </row>
    <row r="2467" spans="1:7" ht="12.75" x14ac:dyDescent="0.2">
      <c r="A2467" s="62"/>
      <c r="B2467" s="62"/>
      <c r="C2467" s="62"/>
      <c r="D2467" s="62"/>
      <c r="E2467" s="76">
        <f ca="1">IFERROR(__xludf.DUMMYFUNCTION("""COMPUTED_VALUE"""),0)</f>
        <v>0</v>
      </c>
      <c r="F2467" s="77"/>
      <c r="G2467" s="77"/>
    </row>
    <row r="2468" spans="1:7" ht="12.75" x14ac:dyDescent="0.2">
      <c r="A2468" s="62"/>
      <c r="B2468" s="62"/>
      <c r="C2468" s="62"/>
      <c r="D2468" s="62"/>
      <c r="E2468" s="76">
        <f ca="1">IFERROR(__xludf.DUMMYFUNCTION("""COMPUTED_VALUE"""),0)</f>
        <v>0</v>
      </c>
      <c r="F2468" s="77"/>
      <c r="G2468" s="77"/>
    </row>
    <row r="2469" spans="1:7" ht="12.75" x14ac:dyDescent="0.2">
      <c r="A2469" s="62"/>
      <c r="B2469" s="62"/>
      <c r="C2469" s="62"/>
      <c r="D2469" s="62"/>
      <c r="E2469" s="76">
        <f ca="1">IFERROR(__xludf.DUMMYFUNCTION("""COMPUTED_VALUE"""),0)</f>
        <v>0</v>
      </c>
      <c r="F2469" s="77"/>
      <c r="G2469" s="77"/>
    </row>
    <row r="2470" spans="1:7" ht="12.75" x14ac:dyDescent="0.2">
      <c r="A2470" s="62"/>
      <c r="B2470" s="62"/>
      <c r="C2470" s="62"/>
      <c r="D2470" s="62"/>
      <c r="E2470" s="76">
        <f ca="1">IFERROR(__xludf.DUMMYFUNCTION("""COMPUTED_VALUE"""),0)</f>
        <v>0</v>
      </c>
      <c r="F2470" s="77"/>
      <c r="G2470" s="77"/>
    </row>
    <row r="2471" spans="1:7" ht="12.75" x14ac:dyDescent="0.2">
      <c r="A2471" s="62"/>
      <c r="B2471" s="62"/>
      <c r="C2471" s="62"/>
      <c r="D2471" s="62"/>
      <c r="E2471" s="76">
        <f ca="1">IFERROR(__xludf.DUMMYFUNCTION("""COMPUTED_VALUE"""),0)</f>
        <v>0</v>
      </c>
      <c r="F2471" s="77"/>
      <c r="G2471" s="77"/>
    </row>
    <row r="2472" spans="1:7" ht="12.75" x14ac:dyDescent="0.2">
      <c r="A2472" s="62"/>
      <c r="B2472" s="62"/>
      <c r="C2472" s="62"/>
      <c r="D2472" s="62"/>
      <c r="E2472" s="76">
        <f ca="1">IFERROR(__xludf.DUMMYFUNCTION("""COMPUTED_VALUE"""),0)</f>
        <v>0</v>
      </c>
      <c r="F2472" s="77"/>
      <c r="G2472" s="77"/>
    </row>
    <row r="2473" spans="1:7" ht="12.75" x14ac:dyDescent="0.2">
      <c r="A2473" s="62"/>
      <c r="B2473" s="62"/>
      <c r="C2473" s="62"/>
      <c r="D2473" s="62"/>
      <c r="E2473" s="76">
        <f ca="1">IFERROR(__xludf.DUMMYFUNCTION("""COMPUTED_VALUE"""),0)</f>
        <v>0</v>
      </c>
      <c r="F2473" s="77"/>
      <c r="G2473" s="77"/>
    </row>
    <row r="2474" spans="1:7" ht="12.75" x14ac:dyDescent="0.2">
      <c r="A2474" s="62">
        <f ca="1">IFERROR(__xludf.DUMMYFUNCTION("""COMPUTED_VALUE"""),10040067)</f>
        <v>10040067</v>
      </c>
      <c r="B2474" s="62" t="str">
        <f ca="1">IFERROR(__xludf.DUMMYFUNCTION("""COMPUTED_VALUE"""),"Vidrio trasero Iphone 14")</f>
        <v>Vidrio trasero Iphone 14</v>
      </c>
      <c r="C2474" s="75">
        <f ca="1">IFERROR(__xludf.DUMMYFUNCTION("""COMPUTED_VALUE"""),250)</f>
        <v>250</v>
      </c>
      <c r="D2474" s="75">
        <f ca="1">IFERROR(__xludf.DUMMYFUNCTION("""COMPUTED_VALUE"""),200)</f>
        <v>200</v>
      </c>
      <c r="E2474" s="76">
        <f ca="1">IFERROR(__xludf.DUMMYFUNCTION("""COMPUTED_VALUE"""),450)</f>
        <v>450</v>
      </c>
      <c r="F2474" s="77">
        <f ca="1">IFERROR(__xludf.DUMMYFUNCTION("""COMPUTED_VALUE"""),10040067)</f>
        <v>10040067</v>
      </c>
      <c r="G2474" s="77"/>
    </row>
    <row r="2475" spans="1:7" ht="12.75" x14ac:dyDescent="0.2">
      <c r="A2475" s="62">
        <f ca="1">IFERROR(__xludf.DUMMYFUNCTION("""COMPUTED_VALUE"""),10040065)</f>
        <v>10040065</v>
      </c>
      <c r="B2475" s="62" t="str">
        <f ca="1">IFERROR(__xludf.DUMMYFUNCTION("""COMPUTED_VALUE"""),"Tapa Trasera Samsung S10e")</f>
        <v>Tapa Trasera Samsung S10e</v>
      </c>
      <c r="C2475" s="75">
        <f ca="1">IFERROR(__xludf.DUMMYFUNCTION("""COMPUTED_VALUE"""),100)</f>
        <v>100</v>
      </c>
      <c r="D2475" s="75">
        <f ca="1">IFERROR(__xludf.DUMMYFUNCTION("""COMPUTED_VALUE"""),50)</f>
        <v>50</v>
      </c>
      <c r="E2475" s="76">
        <f ca="1">IFERROR(__xludf.DUMMYFUNCTION("""COMPUTED_VALUE"""),150)</f>
        <v>150</v>
      </c>
      <c r="F2475" s="77">
        <f ca="1">IFERROR(__xludf.DUMMYFUNCTION("""COMPUTED_VALUE"""),10040065)</f>
        <v>10040065</v>
      </c>
      <c r="G2475" s="77"/>
    </row>
    <row r="2476" spans="1:7" ht="12.75" x14ac:dyDescent="0.2">
      <c r="A2476" s="62">
        <f ca="1">IFERROR(__xludf.DUMMYFUNCTION("""COMPUTED_VALUE"""),10040066)</f>
        <v>10040066</v>
      </c>
      <c r="B2476" s="62" t="str">
        <f ca="1">IFERROR(__xludf.DUMMYFUNCTION("""COMPUTED_VALUE"""),"Vidrio trasero Iphone Xs")</f>
        <v>Vidrio trasero Iphone Xs</v>
      </c>
      <c r="C2476" s="75">
        <f ca="1">IFERROR(__xludf.DUMMYFUNCTION("""COMPUTED_VALUE"""),110)</f>
        <v>110</v>
      </c>
      <c r="D2476" s="75">
        <f ca="1">IFERROR(__xludf.DUMMYFUNCTION("""COMPUTED_VALUE"""),80)</f>
        <v>80</v>
      </c>
      <c r="E2476" s="76">
        <f ca="1">IFERROR(__xludf.DUMMYFUNCTION("""COMPUTED_VALUE"""),190)</f>
        <v>190</v>
      </c>
      <c r="F2476" s="77">
        <f ca="1">IFERROR(__xludf.DUMMYFUNCTION("""COMPUTED_VALUE"""),10040066)</f>
        <v>10040066</v>
      </c>
      <c r="G2476" s="77"/>
    </row>
    <row r="2477" spans="1:7" ht="12.75" x14ac:dyDescent="0.2">
      <c r="A2477" s="62">
        <f ca="1">IFERROR(__xludf.DUMMYFUNCTION("""COMPUTED_VALUE"""),10010525)</f>
        <v>10010525</v>
      </c>
      <c r="B2477" s="62" t="str">
        <f ca="1">IFERROR(__xludf.DUMMYFUNCTION("""COMPUTED_VALUE"""),"Pantalla Samsung A33 5g con Marco")</f>
        <v>Pantalla Samsung A33 5g con Marco</v>
      </c>
      <c r="C2477" s="75">
        <f ca="1">IFERROR(__xludf.DUMMYFUNCTION("""COMPUTED_VALUE"""),390)</f>
        <v>390</v>
      </c>
      <c r="D2477" s="75">
        <f ca="1">IFERROR(__xludf.DUMMYFUNCTION("""COMPUTED_VALUE"""),100)</f>
        <v>100</v>
      </c>
      <c r="E2477" s="76">
        <f ca="1">IFERROR(__xludf.DUMMYFUNCTION("""COMPUTED_VALUE"""),490)</f>
        <v>490</v>
      </c>
      <c r="F2477" s="77">
        <f ca="1">IFERROR(__xludf.DUMMYFUNCTION("""COMPUTED_VALUE"""),10010525)</f>
        <v>10010525</v>
      </c>
      <c r="G2477" s="77"/>
    </row>
    <row r="2478" spans="1:7" ht="12.75" x14ac:dyDescent="0.2">
      <c r="A2478" s="62">
        <f ca="1">IFERROR(__xludf.DUMMYFUNCTION("""COMPUTED_VALUE"""),10040068)</f>
        <v>10040068</v>
      </c>
      <c r="B2478" s="62" t="str">
        <f ca="1">IFERROR(__xludf.DUMMYFUNCTION("""COMPUTED_VALUE"""),"Tapa Trasera Samsung A72")</f>
        <v>Tapa Trasera Samsung A72</v>
      </c>
      <c r="C2478" s="75">
        <f ca="1">IFERROR(__xludf.DUMMYFUNCTION("""COMPUTED_VALUE"""),100)</f>
        <v>100</v>
      </c>
      <c r="D2478" s="75">
        <f ca="1">IFERROR(__xludf.DUMMYFUNCTION("""COMPUTED_VALUE"""),50)</f>
        <v>50</v>
      </c>
      <c r="E2478" s="76">
        <f ca="1">IFERROR(__xludf.DUMMYFUNCTION("""COMPUTED_VALUE"""),150)</f>
        <v>150</v>
      </c>
      <c r="F2478" s="77">
        <f ca="1">IFERROR(__xludf.DUMMYFUNCTION("""COMPUTED_VALUE"""),10040068)</f>
        <v>10040068</v>
      </c>
      <c r="G2478" s="77"/>
    </row>
    <row r="2479" spans="1:7" ht="12.75" x14ac:dyDescent="0.2">
      <c r="A2479" s="62">
        <f ca="1">IFERROR(__xludf.DUMMYFUNCTION("""COMPUTED_VALUE"""),10040069)</f>
        <v>10040069</v>
      </c>
      <c r="B2479" s="62" t="str">
        <f ca="1">IFERROR(__xludf.DUMMYFUNCTION("""COMPUTED_VALUE"""),"Tapa Trasera Samsung S22")</f>
        <v>Tapa Trasera Samsung S22</v>
      </c>
      <c r="C2479" s="75">
        <f ca="1">IFERROR(__xludf.DUMMYFUNCTION("""COMPUTED_VALUE"""),100)</f>
        <v>100</v>
      </c>
      <c r="D2479" s="75">
        <f ca="1">IFERROR(__xludf.DUMMYFUNCTION("""COMPUTED_VALUE"""),100)</f>
        <v>100</v>
      </c>
      <c r="E2479" s="76">
        <f ca="1">IFERROR(__xludf.DUMMYFUNCTION("""COMPUTED_VALUE"""),200)</f>
        <v>200</v>
      </c>
      <c r="F2479" s="77">
        <f ca="1">IFERROR(__xludf.DUMMYFUNCTION("""COMPUTED_VALUE"""),10040069)</f>
        <v>10040069</v>
      </c>
      <c r="G2479" s="77"/>
    </row>
    <row r="2480" spans="1:7" ht="12.75" x14ac:dyDescent="0.2">
      <c r="A2480" s="62">
        <f ca="1">IFERROR(__xludf.DUMMYFUNCTION("""COMPUTED_VALUE"""),10040070)</f>
        <v>10040070</v>
      </c>
      <c r="B2480" s="62" t="str">
        <f ca="1">IFERROR(__xludf.DUMMYFUNCTION("""COMPUTED_VALUE"""),"Tapa Trasera Samsung S22 PLUS")</f>
        <v>Tapa Trasera Samsung S22 PLUS</v>
      </c>
      <c r="C2480" s="75">
        <f ca="1">IFERROR(__xludf.DUMMYFUNCTION("""COMPUTED_VALUE"""),100)</f>
        <v>100</v>
      </c>
      <c r="D2480" s="75">
        <f ca="1">IFERROR(__xludf.DUMMYFUNCTION("""COMPUTED_VALUE"""),100)</f>
        <v>100</v>
      </c>
      <c r="E2480" s="76">
        <f ca="1">IFERROR(__xludf.DUMMYFUNCTION("""COMPUTED_VALUE"""),200)</f>
        <v>200</v>
      </c>
      <c r="F2480" s="77">
        <f ca="1">IFERROR(__xludf.DUMMYFUNCTION("""COMPUTED_VALUE"""),10040070)</f>
        <v>10040070</v>
      </c>
      <c r="G2480" s="77"/>
    </row>
    <row r="2481" spans="1:7" ht="12.75" x14ac:dyDescent="0.2">
      <c r="A2481" s="62">
        <f ca="1">IFERROR(__xludf.DUMMYFUNCTION("""COMPUTED_VALUE"""),10040071)</f>
        <v>10040071</v>
      </c>
      <c r="B2481" s="62" t="str">
        <f ca="1">IFERROR(__xludf.DUMMYFUNCTION("""COMPUTED_VALUE"""),"Tapa Trasera Samsung S22 ULTRA")</f>
        <v>Tapa Trasera Samsung S22 ULTRA</v>
      </c>
      <c r="C2481" s="75">
        <f ca="1">IFERROR(__xludf.DUMMYFUNCTION("""COMPUTED_VALUE"""),100)</f>
        <v>100</v>
      </c>
      <c r="D2481" s="75">
        <f ca="1">IFERROR(__xludf.DUMMYFUNCTION("""COMPUTED_VALUE"""),150)</f>
        <v>150</v>
      </c>
      <c r="E2481" s="76">
        <f ca="1">IFERROR(__xludf.DUMMYFUNCTION("""COMPUTED_VALUE"""),250)</f>
        <v>250</v>
      </c>
      <c r="F2481" s="77">
        <f ca="1">IFERROR(__xludf.DUMMYFUNCTION("""COMPUTED_VALUE"""),10040071)</f>
        <v>10040071</v>
      </c>
      <c r="G2481" s="77"/>
    </row>
    <row r="2482" spans="1:7" ht="12.75" x14ac:dyDescent="0.2">
      <c r="A2482" s="62">
        <f ca="1">IFERROR(__xludf.DUMMYFUNCTION("""COMPUTED_VALUE"""),10040072)</f>
        <v>10040072</v>
      </c>
      <c r="B2482" s="62" t="str">
        <f ca="1">IFERROR(__xludf.DUMMYFUNCTION("""COMPUTED_VALUE"""),"Tapa Trasera Samsung S20 fe")</f>
        <v>Tapa Trasera Samsung S20 fe</v>
      </c>
      <c r="C2482" s="75">
        <f ca="1">IFERROR(__xludf.DUMMYFUNCTION("""COMPUTED_VALUE"""),100)</f>
        <v>100</v>
      </c>
      <c r="D2482" s="75">
        <f ca="1">IFERROR(__xludf.DUMMYFUNCTION("""COMPUTED_VALUE"""),70)</f>
        <v>70</v>
      </c>
      <c r="E2482" s="76">
        <f ca="1">IFERROR(__xludf.DUMMYFUNCTION("""COMPUTED_VALUE"""),170)</f>
        <v>170</v>
      </c>
      <c r="F2482" s="77">
        <f ca="1">IFERROR(__xludf.DUMMYFUNCTION("""COMPUTED_VALUE"""),10040072)</f>
        <v>10040072</v>
      </c>
      <c r="G2482" s="77"/>
    </row>
    <row r="2483" spans="1:7" ht="12.75" x14ac:dyDescent="0.2">
      <c r="A2483" s="62"/>
      <c r="B2483" s="62"/>
      <c r="C2483" s="62"/>
      <c r="D2483" s="75">
        <f ca="1">IFERROR(__xludf.DUMMYFUNCTION("""COMPUTED_VALUE"""),0)</f>
        <v>0</v>
      </c>
      <c r="E2483" s="76">
        <f ca="1">IFERROR(__xludf.DUMMYFUNCTION("""COMPUTED_VALUE"""),0)</f>
        <v>0</v>
      </c>
      <c r="F2483" s="77"/>
      <c r="G2483" s="77"/>
    </row>
    <row r="2484" spans="1:7" ht="12.75" x14ac:dyDescent="0.2">
      <c r="A2484" s="62">
        <f ca="1">IFERROR(__xludf.DUMMYFUNCTION("""COMPUTED_VALUE"""),10010527)</f>
        <v>10010527</v>
      </c>
      <c r="B2484" s="62" t="str">
        <f ca="1">IFERROR(__xludf.DUMMYFUNCTION("""COMPUTED_VALUE"""),"Pantalla Samsung Z Fold 3 EXTERNA")</f>
        <v>Pantalla Samsung Z Fold 3 EXTERNA</v>
      </c>
      <c r="C2484" s="75">
        <f ca="1">IFERROR(__xludf.DUMMYFUNCTION("""COMPUTED_VALUE"""),1100)</f>
        <v>1100</v>
      </c>
      <c r="D2484" s="75">
        <f ca="1">IFERROR(__xludf.DUMMYFUNCTION("""COMPUTED_VALUE"""),100)</f>
        <v>100</v>
      </c>
      <c r="E2484" s="76">
        <f ca="1">IFERROR(__xludf.DUMMYFUNCTION("""COMPUTED_VALUE"""),1200)</f>
        <v>1200</v>
      </c>
      <c r="F2484" s="77">
        <f ca="1">IFERROR(__xludf.DUMMYFUNCTION("""COMPUTED_VALUE"""),10010527)</f>
        <v>10010527</v>
      </c>
      <c r="G2484" s="77"/>
    </row>
    <row r="2485" spans="1:7" ht="12.75" x14ac:dyDescent="0.2">
      <c r="A2485" s="62"/>
      <c r="B2485" s="62"/>
      <c r="C2485" s="62"/>
      <c r="D2485" s="62"/>
      <c r="E2485" s="76">
        <f ca="1">IFERROR(__xludf.DUMMYFUNCTION("""COMPUTED_VALUE"""),0)</f>
        <v>0</v>
      </c>
      <c r="F2485" s="77"/>
      <c r="G2485" s="77"/>
    </row>
    <row r="2486" spans="1:7" ht="12.75" x14ac:dyDescent="0.2">
      <c r="A2486" s="62">
        <f ca="1">IFERROR(__xludf.DUMMYFUNCTION("""COMPUTED_VALUE"""),20140408)</f>
        <v>20140408</v>
      </c>
      <c r="B2486" s="62" t="str">
        <f ca="1">IFERROR(__xludf.DUMMYFUNCTION("""COMPUTED_VALUE"""),"Touch Bar  A1706 / A1989    2016-2017-2018-2019")</f>
        <v>Touch Bar  A1706 / A1989    2016-2017-2018-2019</v>
      </c>
      <c r="C2486" s="75">
        <f ca="1">IFERROR(__xludf.DUMMYFUNCTION("""COMPUTED_VALUE"""),490)</f>
        <v>490</v>
      </c>
      <c r="D2486" s="75">
        <f ca="1">IFERROR(__xludf.DUMMYFUNCTION("""COMPUTED_VALUE"""),200)</f>
        <v>200</v>
      </c>
      <c r="E2486" s="76">
        <f ca="1">IFERROR(__xludf.DUMMYFUNCTION("""COMPUTED_VALUE"""),690)</f>
        <v>690</v>
      </c>
      <c r="F2486" s="77">
        <f ca="1">IFERROR(__xludf.DUMMYFUNCTION("""COMPUTED_VALUE"""),20140408)</f>
        <v>20140408</v>
      </c>
      <c r="G2486" s="77"/>
    </row>
    <row r="2487" spans="1:7" ht="12.75" x14ac:dyDescent="0.2">
      <c r="A2487" s="62">
        <f ca="1">IFERROR(__xludf.DUMMYFUNCTION("""COMPUTED_VALUE"""),20140409)</f>
        <v>20140409</v>
      </c>
      <c r="B2487" s="62" t="str">
        <f ca="1">IFERROR(__xludf.DUMMYFUNCTION("""COMPUTED_VALUE"""),"Touch Bar  A1707 / A1990      2016-2017-2018-2019")</f>
        <v>Touch Bar  A1707 / A1990      2016-2017-2018-2019</v>
      </c>
      <c r="C2487" s="75">
        <f ca="1">IFERROR(__xludf.DUMMYFUNCTION("""COMPUTED_VALUE"""),690)</f>
        <v>690</v>
      </c>
      <c r="D2487" s="75">
        <f ca="1">IFERROR(__xludf.DUMMYFUNCTION("""COMPUTED_VALUE"""),200)</f>
        <v>200</v>
      </c>
      <c r="E2487" s="76">
        <f ca="1">IFERROR(__xludf.DUMMYFUNCTION("""COMPUTED_VALUE"""),890)</f>
        <v>890</v>
      </c>
      <c r="F2487" s="77">
        <f ca="1">IFERROR(__xludf.DUMMYFUNCTION("""COMPUTED_VALUE"""),20140409)</f>
        <v>20140409</v>
      </c>
      <c r="G2487" s="77"/>
    </row>
    <row r="2488" spans="1:7" ht="12.75" x14ac:dyDescent="0.2">
      <c r="A2488" s="62">
        <f ca="1">IFERROR(__xludf.DUMMYFUNCTION("""COMPUTED_VALUE"""),20140410)</f>
        <v>20140410</v>
      </c>
      <c r="B2488" s="62" t="str">
        <f ca="1">IFERROR(__xludf.DUMMYFUNCTION("""COMPUTED_VALUE"""),"Touch Bar  A2159    2019")</f>
        <v>Touch Bar  A2159    2019</v>
      </c>
      <c r="C2488" s="75">
        <f ca="1">IFERROR(__xludf.DUMMYFUNCTION("""COMPUTED_VALUE"""),690)</f>
        <v>690</v>
      </c>
      <c r="D2488" s="75">
        <f ca="1">IFERROR(__xludf.DUMMYFUNCTION("""COMPUTED_VALUE"""),200)</f>
        <v>200</v>
      </c>
      <c r="E2488" s="76">
        <f ca="1">IFERROR(__xludf.DUMMYFUNCTION("""COMPUTED_VALUE"""),890)</f>
        <v>890</v>
      </c>
      <c r="F2488" s="77">
        <f ca="1">IFERROR(__xludf.DUMMYFUNCTION("""COMPUTED_VALUE"""),20140410)</f>
        <v>20140410</v>
      </c>
      <c r="G2488" s="77"/>
    </row>
    <row r="2489" spans="1:7" ht="12.75" x14ac:dyDescent="0.2">
      <c r="A2489" s="62">
        <f ca="1">IFERROR(__xludf.DUMMYFUNCTION("""COMPUTED_VALUE"""),20140411)</f>
        <v>20140411</v>
      </c>
      <c r="B2489" s="62" t="str">
        <f ca="1">IFERROR(__xludf.DUMMYFUNCTION("""COMPUTED_VALUE"""),"Touch Bar  A2141     2019")</f>
        <v>Touch Bar  A2141     2019</v>
      </c>
      <c r="C2489" s="75">
        <f ca="1">IFERROR(__xludf.DUMMYFUNCTION("""COMPUTED_VALUE"""),790)</f>
        <v>790</v>
      </c>
      <c r="D2489" s="75">
        <f ca="1">IFERROR(__xludf.DUMMYFUNCTION("""COMPUTED_VALUE"""),200)</f>
        <v>200</v>
      </c>
      <c r="E2489" s="76">
        <f ca="1">IFERROR(__xludf.DUMMYFUNCTION("""COMPUTED_VALUE"""),990)</f>
        <v>990</v>
      </c>
      <c r="F2489" s="77">
        <f ca="1">IFERROR(__xludf.DUMMYFUNCTION("""COMPUTED_VALUE"""),20140411)</f>
        <v>20140411</v>
      </c>
      <c r="G2489" s="77"/>
    </row>
    <row r="2490" spans="1:7" ht="12.75" x14ac:dyDescent="0.2">
      <c r="A2490" s="62">
        <f ca="1">IFERROR(__xludf.DUMMYFUNCTION("""COMPUTED_VALUE"""),20140412)</f>
        <v>20140412</v>
      </c>
      <c r="B2490" s="62" t="str">
        <f ca="1">IFERROR(__xludf.DUMMYFUNCTION("""COMPUTED_VALUE"""),"Touch Bar  A2338  / A2251 / A2289 ")</f>
        <v xml:space="preserve">Touch Bar  A2338  / A2251 / A2289 </v>
      </c>
      <c r="C2490" s="75">
        <f ca="1">IFERROR(__xludf.DUMMYFUNCTION("""COMPUTED_VALUE"""),690)</f>
        <v>690</v>
      </c>
      <c r="D2490" s="75">
        <f ca="1">IFERROR(__xludf.DUMMYFUNCTION("""COMPUTED_VALUE"""),200)</f>
        <v>200</v>
      </c>
      <c r="E2490" s="76">
        <f ca="1">IFERROR(__xludf.DUMMYFUNCTION("""COMPUTED_VALUE"""),890)</f>
        <v>890</v>
      </c>
      <c r="F2490" s="77">
        <f ca="1">IFERROR(__xludf.DUMMYFUNCTION("""COMPUTED_VALUE"""),20140412)</f>
        <v>20140412</v>
      </c>
      <c r="G2490" s="77"/>
    </row>
    <row r="2491" spans="1:7" ht="12.75" x14ac:dyDescent="0.2">
      <c r="A2491" s="62">
        <f ca="1">IFERROR(__xludf.DUMMYFUNCTION("""COMPUTED_VALUE"""),20140413)</f>
        <v>20140413</v>
      </c>
      <c r="B2491" s="62"/>
      <c r="C2491" s="75">
        <f ca="1">IFERROR(__xludf.DUMMYFUNCTION("""COMPUTED_VALUE"""),690)</f>
        <v>690</v>
      </c>
      <c r="D2491" s="75">
        <f ca="1">IFERROR(__xludf.DUMMYFUNCTION("""COMPUTED_VALUE"""),200)</f>
        <v>200</v>
      </c>
      <c r="E2491" s="76">
        <f ca="1">IFERROR(__xludf.DUMMYFUNCTION("""COMPUTED_VALUE"""),890)</f>
        <v>890</v>
      </c>
      <c r="F2491" s="77">
        <f ca="1">IFERROR(__xludf.DUMMYFUNCTION("""COMPUTED_VALUE"""),20140413)</f>
        <v>20140413</v>
      </c>
      <c r="G2491" s="77"/>
    </row>
    <row r="2492" spans="1:7" ht="12.75" x14ac:dyDescent="0.2">
      <c r="A2492" s="62"/>
      <c r="B2492" s="62"/>
      <c r="C2492" s="62"/>
      <c r="D2492" s="62"/>
      <c r="E2492" s="76">
        <f ca="1">IFERROR(__xludf.DUMMYFUNCTION("""COMPUTED_VALUE"""),0)</f>
        <v>0</v>
      </c>
      <c r="F2492" s="77"/>
      <c r="G2492" s="77"/>
    </row>
    <row r="2493" spans="1:7" ht="12.75" x14ac:dyDescent="0.2">
      <c r="A2493" s="62"/>
      <c r="B2493" s="62"/>
      <c r="C2493" s="62"/>
      <c r="D2493" s="62"/>
      <c r="E2493" s="76">
        <f ca="1">IFERROR(__xludf.DUMMYFUNCTION("""COMPUTED_VALUE"""),0)</f>
        <v>0</v>
      </c>
      <c r="F2493" s="77"/>
      <c r="G2493" s="77"/>
    </row>
    <row r="2494" spans="1:7" ht="12.75" x14ac:dyDescent="0.2">
      <c r="A2494" s="62"/>
      <c r="B2494" s="62"/>
      <c r="C2494" s="62"/>
      <c r="D2494" s="62"/>
      <c r="E2494" s="76">
        <f ca="1">IFERROR(__xludf.DUMMYFUNCTION("""COMPUTED_VALUE"""),0)</f>
        <v>0</v>
      </c>
      <c r="F2494" s="77"/>
      <c r="G2494" s="77"/>
    </row>
    <row r="2495" spans="1:7" ht="12.75" x14ac:dyDescent="0.2">
      <c r="A2495" s="62"/>
      <c r="B2495" s="62"/>
      <c r="C2495" s="62"/>
      <c r="D2495" s="62"/>
      <c r="E2495" s="76">
        <f ca="1">IFERROR(__xludf.DUMMYFUNCTION("""COMPUTED_VALUE"""),0)</f>
        <v>0</v>
      </c>
      <c r="F2495" s="77"/>
      <c r="G2495" s="77"/>
    </row>
    <row r="2496" spans="1:7" ht="12.75" x14ac:dyDescent="0.2">
      <c r="A2496" s="62"/>
      <c r="B2496" s="62"/>
      <c r="C2496" s="62"/>
      <c r="D2496" s="62"/>
      <c r="E2496" s="76">
        <f ca="1">IFERROR(__xludf.DUMMYFUNCTION("""COMPUTED_VALUE"""),0)</f>
        <v>0</v>
      </c>
      <c r="F2496" s="77"/>
      <c r="G2496" s="77"/>
    </row>
    <row r="2497" spans="1:7" ht="12.75" x14ac:dyDescent="0.2">
      <c r="A2497" s="62"/>
      <c r="B2497" s="62"/>
      <c r="C2497" s="62"/>
      <c r="D2497" s="62"/>
      <c r="E2497" s="76">
        <f ca="1">IFERROR(__xludf.DUMMYFUNCTION("""COMPUTED_VALUE"""),0)</f>
        <v>0</v>
      </c>
      <c r="F2497" s="77"/>
      <c r="G2497" s="77"/>
    </row>
    <row r="2498" spans="1:7" ht="12.75" x14ac:dyDescent="0.2">
      <c r="A2498" s="62"/>
      <c r="B2498" s="62"/>
      <c r="C2498" s="62"/>
      <c r="D2498" s="62"/>
      <c r="E2498" s="76">
        <f ca="1">IFERROR(__xludf.DUMMYFUNCTION("""COMPUTED_VALUE"""),0)</f>
        <v>0</v>
      </c>
      <c r="F2498" s="77"/>
      <c r="G2498" s="77"/>
    </row>
    <row r="2499" spans="1:7" ht="12.75" x14ac:dyDescent="0.2">
      <c r="A2499" s="62"/>
      <c r="B2499" s="62"/>
      <c r="C2499" s="62"/>
      <c r="D2499" s="62"/>
      <c r="E2499" s="76">
        <f ca="1">IFERROR(__xludf.DUMMYFUNCTION("""COMPUTED_VALUE"""),0)</f>
        <v>0</v>
      </c>
      <c r="F2499" s="77"/>
      <c r="G2499" s="77"/>
    </row>
    <row r="2500" spans="1:7" ht="12.75" x14ac:dyDescent="0.2">
      <c r="A2500" s="62"/>
      <c r="B2500" s="62"/>
      <c r="C2500" s="62"/>
      <c r="D2500" s="62"/>
      <c r="E2500" s="76">
        <f ca="1">IFERROR(__xludf.DUMMYFUNCTION("""COMPUTED_VALUE"""),0)</f>
        <v>0</v>
      </c>
      <c r="F2500" s="77"/>
      <c r="G2500" s="77"/>
    </row>
    <row r="2501" spans="1:7" ht="12.75" x14ac:dyDescent="0.2">
      <c r="A2501" s="62"/>
      <c r="B2501" s="62"/>
      <c r="C2501" s="62"/>
      <c r="D2501" s="62"/>
      <c r="E2501" s="76">
        <f ca="1">IFERROR(__xludf.DUMMYFUNCTION("""COMPUTED_VALUE"""),0)</f>
        <v>0</v>
      </c>
      <c r="F2501" s="77"/>
      <c r="G2501" s="77"/>
    </row>
    <row r="2502" spans="1:7" ht="12.75" x14ac:dyDescent="0.2">
      <c r="A2502" s="62"/>
      <c r="B2502" s="62"/>
      <c r="C2502" s="62"/>
      <c r="D2502" s="62"/>
      <c r="E2502" s="76">
        <f ca="1">IFERROR(__xludf.DUMMYFUNCTION("""COMPUTED_VALUE"""),0)</f>
        <v>0</v>
      </c>
      <c r="F2502" s="77"/>
      <c r="G2502" s="77"/>
    </row>
    <row r="2503" spans="1:7" ht="12.75" x14ac:dyDescent="0.2">
      <c r="A2503" s="62"/>
      <c r="B2503" s="62"/>
      <c r="C2503" s="62"/>
      <c r="D2503" s="62"/>
      <c r="E2503" s="76">
        <f ca="1">IFERROR(__xludf.DUMMYFUNCTION("""COMPUTED_VALUE"""),0)</f>
        <v>0</v>
      </c>
      <c r="F2503" s="77"/>
      <c r="G2503" s="77"/>
    </row>
    <row r="2504" spans="1:7" ht="12.75" x14ac:dyDescent="0.2">
      <c r="A2504" s="62"/>
      <c r="B2504" s="62"/>
      <c r="C2504" s="62"/>
      <c r="D2504" s="62"/>
      <c r="E2504" s="76">
        <f ca="1">IFERROR(__xludf.DUMMYFUNCTION("""COMPUTED_VALUE"""),0)</f>
        <v>0</v>
      </c>
      <c r="F2504" s="77"/>
      <c r="G2504" s="77"/>
    </row>
    <row r="2505" spans="1:7" ht="12.75" x14ac:dyDescent="0.2">
      <c r="A2505" s="62"/>
      <c r="B2505" s="62"/>
      <c r="C2505" s="62"/>
      <c r="D2505" s="62"/>
      <c r="E2505" s="76">
        <f ca="1">IFERROR(__xludf.DUMMYFUNCTION("""COMPUTED_VALUE"""),0)</f>
        <v>0</v>
      </c>
      <c r="F2505" s="77"/>
      <c r="G2505" s="77"/>
    </row>
    <row r="2506" spans="1:7" ht="12.75" x14ac:dyDescent="0.2">
      <c r="A2506" s="62"/>
      <c r="B2506" s="62"/>
      <c r="C2506" s="62"/>
      <c r="D2506" s="62"/>
      <c r="E2506" s="76">
        <f ca="1">IFERROR(__xludf.DUMMYFUNCTION("""COMPUTED_VALUE"""),0)</f>
        <v>0</v>
      </c>
      <c r="F2506" s="77"/>
      <c r="G2506" s="77"/>
    </row>
    <row r="2507" spans="1:7" ht="12.75" x14ac:dyDescent="0.2">
      <c r="A2507" s="62"/>
      <c r="B2507" s="62"/>
      <c r="C2507" s="62"/>
      <c r="D2507" s="62"/>
      <c r="E2507" s="76">
        <f ca="1">IFERROR(__xludf.DUMMYFUNCTION("""COMPUTED_VALUE"""),0)</f>
        <v>0</v>
      </c>
      <c r="F2507" s="77"/>
      <c r="G2507" s="77"/>
    </row>
    <row r="2508" spans="1:7" ht="12.75" x14ac:dyDescent="0.2">
      <c r="A2508" s="62"/>
      <c r="B2508" s="62"/>
      <c r="C2508" s="62"/>
      <c r="D2508" s="62"/>
      <c r="E2508" s="76">
        <f ca="1">IFERROR(__xludf.DUMMYFUNCTION("""COMPUTED_VALUE"""),0)</f>
        <v>0</v>
      </c>
      <c r="F2508" s="77"/>
      <c r="G2508" s="77"/>
    </row>
    <row r="2509" spans="1:7" ht="12.75" x14ac:dyDescent="0.2">
      <c r="A2509" s="62"/>
      <c r="B2509" s="62"/>
      <c r="C2509" s="62"/>
      <c r="D2509" s="62"/>
      <c r="E2509" s="76">
        <f ca="1">IFERROR(__xludf.DUMMYFUNCTION("""COMPUTED_VALUE"""),0)</f>
        <v>0</v>
      </c>
      <c r="F2509" s="77"/>
      <c r="G2509" s="77"/>
    </row>
    <row r="2510" spans="1:7" ht="12.75" x14ac:dyDescent="0.2">
      <c r="A2510" s="62"/>
      <c r="B2510" s="62"/>
      <c r="C2510" s="62"/>
      <c r="D2510" s="62"/>
      <c r="E2510" s="76">
        <f ca="1">IFERROR(__xludf.DUMMYFUNCTION("""COMPUTED_VALUE"""),0)</f>
        <v>0</v>
      </c>
      <c r="F2510" s="77"/>
      <c r="G2510" s="77"/>
    </row>
    <row r="2511" spans="1:7" ht="12.75" x14ac:dyDescent="0.2">
      <c r="A2511" s="62"/>
      <c r="B2511" s="62"/>
      <c r="C2511" s="62"/>
      <c r="D2511" s="62"/>
      <c r="E2511" s="76">
        <f ca="1">IFERROR(__xludf.DUMMYFUNCTION("""COMPUTED_VALUE"""),0)</f>
        <v>0</v>
      </c>
      <c r="F2511" s="77"/>
      <c r="G2511" s="77"/>
    </row>
    <row r="2512" spans="1:7" ht="12.75" x14ac:dyDescent="0.2">
      <c r="A2512" s="62"/>
      <c r="B2512" s="62"/>
      <c r="C2512" s="62"/>
      <c r="D2512" s="62"/>
      <c r="E2512" s="76">
        <f ca="1">IFERROR(__xludf.DUMMYFUNCTION("""COMPUTED_VALUE"""),0)</f>
        <v>0</v>
      </c>
      <c r="F2512" s="77"/>
      <c r="G2512" s="77"/>
    </row>
    <row r="2513" spans="1:7" ht="12.75" x14ac:dyDescent="0.2">
      <c r="A2513" s="62"/>
      <c r="B2513" s="62"/>
      <c r="C2513" s="62"/>
      <c r="D2513" s="62"/>
      <c r="E2513" s="76">
        <f ca="1">IFERROR(__xludf.DUMMYFUNCTION("""COMPUTED_VALUE"""),0)</f>
        <v>0</v>
      </c>
      <c r="F2513" s="77"/>
      <c r="G2513" s="77"/>
    </row>
    <row r="2514" spans="1:7" ht="12.75" x14ac:dyDescent="0.2">
      <c r="A2514" s="62"/>
      <c r="B2514" s="62"/>
      <c r="C2514" s="62"/>
      <c r="D2514" s="62"/>
      <c r="E2514" s="76">
        <f ca="1">IFERROR(__xludf.DUMMYFUNCTION("""COMPUTED_VALUE"""),0)</f>
        <v>0</v>
      </c>
      <c r="F2514" s="77"/>
      <c r="G2514" s="77"/>
    </row>
    <row r="2515" spans="1:7" ht="12.75" x14ac:dyDescent="0.2">
      <c r="A2515" s="62"/>
      <c r="B2515" s="62"/>
      <c r="C2515" s="62"/>
      <c r="D2515" s="62"/>
      <c r="E2515" s="76">
        <f ca="1">IFERROR(__xludf.DUMMYFUNCTION("""COMPUTED_VALUE"""),0)</f>
        <v>0</v>
      </c>
      <c r="F2515" s="77"/>
      <c r="G2515" s="77"/>
    </row>
    <row r="2516" spans="1:7" ht="12.75" x14ac:dyDescent="0.2">
      <c r="A2516" s="62"/>
      <c r="B2516" s="62"/>
      <c r="C2516" s="62"/>
      <c r="D2516" s="62"/>
      <c r="E2516" s="76">
        <f ca="1">IFERROR(__xludf.DUMMYFUNCTION("""COMPUTED_VALUE"""),0)</f>
        <v>0</v>
      </c>
      <c r="F2516" s="77"/>
      <c r="G2516" s="77"/>
    </row>
    <row r="2517" spans="1:7" ht="12.75" x14ac:dyDescent="0.2">
      <c r="A2517" s="62"/>
      <c r="B2517" s="62"/>
      <c r="C2517" s="62"/>
      <c r="D2517" s="62"/>
      <c r="E2517" s="76">
        <f ca="1">IFERROR(__xludf.DUMMYFUNCTION("""COMPUTED_VALUE"""),0)</f>
        <v>0</v>
      </c>
      <c r="F2517" s="77"/>
      <c r="G2517" s="77"/>
    </row>
    <row r="2518" spans="1:7" ht="12.75" x14ac:dyDescent="0.2">
      <c r="A2518" s="62"/>
      <c r="B2518" s="62"/>
      <c r="C2518" s="62"/>
      <c r="D2518" s="62"/>
      <c r="E2518" s="76">
        <f ca="1">IFERROR(__xludf.DUMMYFUNCTION("""COMPUTED_VALUE"""),0)</f>
        <v>0</v>
      </c>
      <c r="F2518" s="77"/>
      <c r="G2518" s="77"/>
    </row>
    <row r="2519" spans="1:7" ht="12.75" x14ac:dyDescent="0.2">
      <c r="A2519" s="62"/>
      <c r="B2519" s="62"/>
      <c r="C2519" s="62"/>
      <c r="D2519" s="62"/>
      <c r="E2519" s="76">
        <f ca="1">IFERROR(__xludf.DUMMYFUNCTION("""COMPUTED_VALUE"""),0)</f>
        <v>0</v>
      </c>
      <c r="F2519" s="77"/>
      <c r="G2519" s="77"/>
    </row>
    <row r="2520" spans="1:7" ht="12.75" x14ac:dyDescent="0.2">
      <c r="A2520" s="62"/>
      <c r="B2520" s="62"/>
      <c r="C2520" s="62"/>
      <c r="D2520" s="62"/>
      <c r="E2520" s="76">
        <f ca="1">IFERROR(__xludf.DUMMYFUNCTION("""COMPUTED_VALUE"""),0)</f>
        <v>0</v>
      </c>
      <c r="F2520" s="77"/>
      <c r="G2520" s="77"/>
    </row>
    <row r="2521" spans="1:7" ht="12.75" x14ac:dyDescent="0.2">
      <c r="A2521" s="62"/>
      <c r="B2521" s="62"/>
      <c r="C2521" s="62"/>
      <c r="D2521" s="62"/>
      <c r="E2521" s="76">
        <f ca="1">IFERROR(__xludf.DUMMYFUNCTION("""COMPUTED_VALUE"""),0)</f>
        <v>0</v>
      </c>
      <c r="F2521" s="77"/>
      <c r="G2521" s="77"/>
    </row>
    <row r="2522" spans="1:7" ht="12.75" x14ac:dyDescent="0.2">
      <c r="A2522" s="62"/>
      <c r="B2522" s="62"/>
      <c r="C2522" s="62"/>
      <c r="D2522" s="62"/>
      <c r="E2522" s="76">
        <f ca="1">IFERROR(__xludf.DUMMYFUNCTION("""COMPUTED_VALUE"""),0)</f>
        <v>0</v>
      </c>
      <c r="F2522" s="77"/>
      <c r="G2522" s="77"/>
    </row>
    <row r="2523" spans="1:7" ht="12.75" x14ac:dyDescent="0.2">
      <c r="A2523" s="62"/>
      <c r="B2523" s="62"/>
      <c r="C2523" s="62"/>
      <c r="D2523" s="62"/>
      <c r="E2523" s="76">
        <f ca="1">IFERROR(__xludf.DUMMYFUNCTION("""COMPUTED_VALUE"""),0)</f>
        <v>0</v>
      </c>
      <c r="F2523" s="77"/>
      <c r="G2523" s="77"/>
    </row>
    <row r="2524" spans="1:7" ht="12.75" x14ac:dyDescent="0.2">
      <c r="A2524" s="62"/>
      <c r="B2524" s="62"/>
      <c r="C2524" s="62"/>
      <c r="D2524" s="62"/>
      <c r="E2524" s="76">
        <f ca="1">IFERROR(__xludf.DUMMYFUNCTION("""COMPUTED_VALUE"""),0)</f>
        <v>0</v>
      </c>
      <c r="F2524" s="77"/>
      <c r="G2524" s="77"/>
    </row>
    <row r="2525" spans="1:7" ht="12.75" x14ac:dyDescent="0.2">
      <c r="A2525" s="62"/>
      <c r="B2525" s="62"/>
      <c r="C2525" s="62"/>
      <c r="D2525" s="62"/>
      <c r="E2525" s="76">
        <f ca="1">IFERROR(__xludf.DUMMYFUNCTION("""COMPUTED_VALUE"""),0)</f>
        <v>0</v>
      </c>
      <c r="F2525" s="77"/>
      <c r="G2525" s="77"/>
    </row>
    <row r="2526" spans="1:7" ht="12.75" x14ac:dyDescent="0.2">
      <c r="A2526" s="62"/>
      <c r="B2526" s="62"/>
      <c r="C2526" s="62"/>
      <c r="D2526" s="62"/>
      <c r="E2526" s="76">
        <f ca="1">IFERROR(__xludf.DUMMYFUNCTION("""COMPUTED_VALUE"""),0)</f>
        <v>0</v>
      </c>
      <c r="F2526" s="77"/>
      <c r="G2526" s="77"/>
    </row>
    <row r="2527" spans="1:7" ht="12.75" x14ac:dyDescent="0.2">
      <c r="A2527" s="62"/>
      <c r="B2527" s="62"/>
      <c r="C2527" s="62"/>
      <c r="D2527" s="62"/>
      <c r="E2527" s="76">
        <f ca="1">IFERROR(__xludf.DUMMYFUNCTION("""COMPUTED_VALUE"""),0)</f>
        <v>0</v>
      </c>
      <c r="F2527" s="77"/>
      <c r="G2527" s="77"/>
    </row>
    <row r="2528" spans="1:7" ht="12.75" x14ac:dyDescent="0.2">
      <c r="A2528" s="62"/>
      <c r="B2528" s="62"/>
      <c r="C2528" s="62"/>
      <c r="D2528" s="62"/>
      <c r="E2528" s="76">
        <f ca="1">IFERROR(__xludf.DUMMYFUNCTION("""COMPUTED_VALUE"""),0)</f>
        <v>0</v>
      </c>
      <c r="F2528" s="77"/>
      <c r="G2528" s="77"/>
    </row>
    <row r="2529" spans="1:7" ht="12.75" x14ac:dyDescent="0.2">
      <c r="A2529" s="62"/>
      <c r="B2529" s="62"/>
      <c r="C2529" s="62"/>
      <c r="D2529" s="62"/>
      <c r="E2529" s="76">
        <f ca="1">IFERROR(__xludf.DUMMYFUNCTION("""COMPUTED_VALUE"""),0)</f>
        <v>0</v>
      </c>
      <c r="F2529" s="77"/>
      <c r="G2529" s="77"/>
    </row>
    <row r="2530" spans="1:7" ht="12.75" x14ac:dyDescent="0.2">
      <c r="A2530" s="62"/>
      <c r="B2530" s="62"/>
      <c r="C2530" s="62"/>
      <c r="D2530" s="62"/>
      <c r="E2530" s="76">
        <f ca="1">IFERROR(__xludf.DUMMYFUNCTION("""COMPUTED_VALUE"""),0)</f>
        <v>0</v>
      </c>
      <c r="F2530" s="77"/>
      <c r="G2530" s="77"/>
    </row>
    <row r="2531" spans="1:7" ht="12.75" x14ac:dyDescent="0.2">
      <c r="A2531" s="62"/>
      <c r="B2531" s="62"/>
      <c r="C2531" s="62"/>
      <c r="D2531" s="62"/>
      <c r="E2531" s="76">
        <f ca="1">IFERROR(__xludf.DUMMYFUNCTION("""COMPUTED_VALUE"""),0)</f>
        <v>0</v>
      </c>
      <c r="F2531" s="77"/>
      <c r="G2531" s="77"/>
    </row>
    <row r="2532" spans="1:7" ht="12.75" x14ac:dyDescent="0.2">
      <c r="A2532" s="62"/>
      <c r="B2532" s="62"/>
      <c r="C2532" s="62"/>
      <c r="D2532" s="62"/>
      <c r="E2532" s="76">
        <f ca="1">IFERROR(__xludf.DUMMYFUNCTION("""COMPUTED_VALUE"""),0)</f>
        <v>0</v>
      </c>
      <c r="F2532" s="77"/>
      <c r="G2532" s="77"/>
    </row>
    <row r="2533" spans="1:7" ht="12.75" x14ac:dyDescent="0.2">
      <c r="A2533" s="62"/>
      <c r="B2533" s="62"/>
      <c r="C2533" s="62"/>
      <c r="D2533" s="62"/>
      <c r="E2533" s="76">
        <f ca="1">IFERROR(__xludf.DUMMYFUNCTION("""COMPUTED_VALUE"""),0)</f>
        <v>0</v>
      </c>
      <c r="F2533" s="77"/>
      <c r="G2533" s="77"/>
    </row>
    <row r="2534" spans="1:7" ht="12.75" x14ac:dyDescent="0.2">
      <c r="A2534" s="62"/>
      <c r="B2534" s="62"/>
      <c r="C2534" s="62"/>
      <c r="D2534" s="62"/>
      <c r="E2534" s="76">
        <f ca="1">IFERROR(__xludf.DUMMYFUNCTION("""COMPUTED_VALUE"""),0)</f>
        <v>0</v>
      </c>
      <c r="F2534" s="77"/>
      <c r="G2534" s="77"/>
    </row>
    <row r="2535" spans="1:7" ht="12.75" x14ac:dyDescent="0.2">
      <c r="A2535" s="62"/>
      <c r="B2535" s="62"/>
      <c r="C2535" s="62"/>
      <c r="D2535" s="62"/>
      <c r="E2535" s="76">
        <f ca="1">IFERROR(__xludf.DUMMYFUNCTION("""COMPUTED_VALUE"""),0)</f>
        <v>0</v>
      </c>
      <c r="F2535" s="77"/>
      <c r="G2535" s="77"/>
    </row>
    <row r="2536" spans="1:7" ht="12.75" x14ac:dyDescent="0.2">
      <c r="A2536" s="62"/>
      <c r="B2536" s="62"/>
      <c r="C2536" s="62"/>
      <c r="D2536" s="62"/>
      <c r="E2536" s="76">
        <f ca="1">IFERROR(__xludf.DUMMYFUNCTION("""COMPUTED_VALUE"""),0)</f>
        <v>0</v>
      </c>
      <c r="F2536" s="77"/>
      <c r="G2536" s="77"/>
    </row>
    <row r="2537" spans="1:7" ht="12.75" x14ac:dyDescent="0.2">
      <c r="A2537" s="62"/>
      <c r="B2537" s="62"/>
      <c r="C2537" s="62"/>
      <c r="D2537" s="62"/>
      <c r="E2537" s="76">
        <f ca="1">IFERROR(__xludf.DUMMYFUNCTION("""COMPUTED_VALUE"""),0)</f>
        <v>0</v>
      </c>
      <c r="F2537" s="77"/>
      <c r="G2537" s="77"/>
    </row>
    <row r="2538" spans="1:7" ht="12.75" x14ac:dyDescent="0.2">
      <c r="A2538" s="62"/>
      <c r="B2538" s="62"/>
      <c r="C2538" s="62"/>
      <c r="D2538" s="62"/>
      <c r="E2538" s="76">
        <f ca="1">IFERROR(__xludf.DUMMYFUNCTION("""COMPUTED_VALUE"""),0)</f>
        <v>0</v>
      </c>
      <c r="F2538" s="77"/>
      <c r="G2538" s="77"/>
    </row>
    <row r="2539" spans="1:7" ht="12.75" x14ac:dyDescent="0.2">
      <c r="A2539" s="62"/>
      <c r="B2539" s="62"/>
      <c r="C2539" s="62"/>
      <c r="D2539" s="62"/>
      <c r="E2539" s="76">
        <f ca="1">IFERROR(__xludf.DUMMYFUNCTION("""COMPUTED_VALUE"""),0)</f>
        <v>0</v>
      </c>
      <c r="F2539" s="77"/>
      <c r="G2539" s="77"/>
    </row>
    <row r="2540" spans="1:7" ht="12.75" x14ac:dyDescent="0.2">
      <c r="A2540" s="62"/>
      <c r="B2540" s="62"/>
      <c r="C2540" s="62"/>
      <c r="D2540" s="62"/>
      <c r="E2540" s="76">
        <f ca="1">IFERROR(__xludf.DUMMYFUNCTION("""COMPUTED_VALUE"""),0)</f>
        <v>0</v>
      </c>
      <c r="F2540" s="77"/>
      <c r="G2540" s="77"/>
    </row>
    <row r="2541" spans="1:7" ht="12.75" x14ac:dyDescent="0.2">
      <c r="A2541" s="62"/>
      <c r="B2541" s="62"/>
      <c r="C2541" s="62"/>
      <c r="D2541" s="62"/>
      <c r="E2541" s="76">
        <f ca="1">IFERROR(__xludf.DUMMYFUNCTION("""COMPUTED_VALUE"""),0)</f>
        <v>0</v>
      </c>
      <c r="F2541" s="77"/>
      <c r="G2541" s="77"/>
    </row>
    <row r="2542" spans="1:7" ht="12.75" x14ac:dyDescent="0.2">
      <c r="A2542" s="62"/>
      <c r="B2542" s="62"/>
      <c r="C2542" s="62"/>
      <c r="D2542" s="62"/>
      <c r="E2542" s="76">
        <f ca="1">IFERROR(__xludf.DUMMYFUNCTION("""COMPUTED_VALUE"""),0)</f>
        <v>0</v>
      </c>
      <c r="F2542" s="77"/>
      <c r="G2542" s="77"/>
    </row>
    <row r="2543" spans="1:7" ht="12.75" x14ac:dyDescent="0.2">
      <c r="A2543" s="62"/>
      <c r="B2543" s="62"/>
      <c r="C2543" s="62"/>
      <c r="D2543" s="62"/>
      <c r="E2543" s="76">
        <f ca="1">IFERROR(__xludf.DUMMYFUNCTION("""COMPUTED_VALUE"""),0)</f>
        <v>0</v>
      </c>
      <c r="F2543" s="77"/>
      <c r="G2543" s="77"/>
    </row>
    <row r="2544" spans="1:7" ht="12.75" x14ac:dyDescent="0.2">
      <c r="A2544" s="62"/>
      <c r="B2544" s="62"/>
      <c r="C2544" s="62"/>
      <c r="D2544" s="62"/>
      <c r="E2544" s="76">
        <f ca="1">IFERROR(__xludf.DUMMYFUNCTION("""COMPUTED_VALUE"""),0)</f>
        <v>0</v>
      </c>
      <c r="F2544" s="77"/>
      <c r="G2544" s="77"/>
    </row>
    <row r="2545" spans="1:7" ht="12.75" x14ac:dyDescent="0.2">
      <c r="A2545" s="62"/>
      <c r="B2545" s="62"/>
      <c r="C2545" s="62"/>
      <c r="D2545" s="62"/>
      <c r="E2545" s="76">
        <f ca="1">IFERROR(__xludf.DUMMYFUNCTION("""COMPUTED_VALUE"""),0)</f>
        <v>0</v>
      </c>
      <c r="F2545" s="77"/>
      <c r="G2545" s="77"/>
    </row>
    <row r="2546" spans="1:7" ht="12.75" x14ac:dyDescent="0.2">
      <c r="A2546" s="62"/>
      <c r="B2546" s="62"/>
      <c r="C2546" s="62"/>
      <c r="D2546" s="62"/>
      <c r="E2546" s="76">
        <f ca="1">IFERROR(__xludf.DUMMYFUNCTION("""COMPUTED_VALUE"""),0)</f>
        <v>0</v>
      </c>
      <c r="F2546" s="77"/>
      <c r="G2546" s="77"/>
    </row>
    <row r="2547" spans="1:7" ht="12.75" x14ac:dyDescent="0.2">
      <c r="A2547" s="62"/>
      <c r="B2547" s="62"/>
      <c r="C2547" s="62"/>
      <c r="D2547" s="62"/>
      <c r="E2547" s="76">
        <f ca="1">IFERROR(__xludf.DUMMYFUNCTION("""COMPUTED_VALUE"""),0)</f>
        <v>0</v>
      </c>
      <c r="F2547" s="77"/>
      <c r="G2547" s="77"/>
    </row>
    <row r="2548" spans="1:7" ht="12.75" x14ac:dyDescent="0.2">
      <c r="A2548" s="62"/>
      <c r="B2548" s="62"/>
      <c r="C2548" s="62"/>
      <c r="D2548" s="62"/>
      <c r="E2548" s="76">
        <f ca="1">IFERROR(__xludf.DUMMYFUNCTION("""COMPUTED_VALUE"""),0)</f>
        <v>0</v>
      </c>
      <c r="F2548" s="77"/>
      <c r="G2548" s="77"/>
    </row>
    <row r="2549" spans="1:7" ht="12.75" x14ac:dyDescent="0.2">
      <c r="A2549" s="62"/>
      <c r="B2549" s="62"/>
      <c r="C2549" s="62"/>
      <c r="D2549" s="62"/>
      <c r="E2549" s="76">
        <f ca="1">IFERROR(__xludf.DUMMYFUNCTION("""COMPUTED_VALUE"""),0)</f>
        <v>0</v>
      </c>
      <c r="F2549" s="77"/>
      <c r="G2549" s="77"/>
    </row>
    <row r="2550" spans="1:7" ht="12.75" x14ac:dyDescent="0.2">
      <c r="A2550" s="62"/>
      <c r="B2550" s="62"/>
      <c r="C2550" s="62"/>
      <c r="D2550" s="62"/>
      <c r="E2550" s="76">
        <f ca="1">IFERROR(__xludf.DUMMYFUNCTION("""COMPUTED_VALUE"""),0)</f>
        <v>0</v>
      </c>
      <c r="F2550" s="77"/>
      <c r="G2550" s="77"/>
    </row>
    <row r="2551" spans="1:7" ht="12.75" x14ac:dyDescent="0.2">
      <c r="A2551" s="62"/>
      <c r="B2551" s="62"/>
      <c r="C2551" s="62"/>
      <c r="D2551" s="62"/>
      <c r="E2551" s="76">
        <f ca="1">IFERROR(__xludf.DUMMYFUNCTION("""COMPUTED_VALUE"""),0)</f>
        <v>0</v>
      </c>
      <c r="F2551" s="77"/>
      <c r="G2551" s="77"/>
    </row>
    <row r="2552" spans="1:7" ht="12.75" x14ac:dyDescent="0.2">
      <c r="A2552" s="62"/>
      <c r="B2552" s="62"/>
      <c r="C2552" s="62"/>
      <c r="D2552" s="62"/>
      <c r="E2552" s="76">
        <f ca="1">IFERROR(__xludf.DUMMYFUNCTION("""COMPUTED_VALUE"""),0)</f>
        <v>0</v>
      </c>
      <c r="F2552" s="77"/>
      <c r="G2552" s="77"/>
    </row>
    <row r="2553" spans="1:7" ht="12.75" x14ac:dyDescent="0.2">
      <c r="A2553" s="62"/>
      <c r="B2553" s="62"/>
      <c r="C2553" s="62"/>
      <c r="D2553" s="62"/>
      <c r="E2553" s="76">
        <f ca="1">IFERROR(__xludf.DUMMYFUNCTION("""COMPUTED_VALUE"""),0)</f>
        <v>0</v>
      </c>
      <c r="F2553" s="77"/>
      <c r="G2553" s="77"/>
    </row>
    <row r="2554" spans="1:7" ht="12.75" x14ac:dyDescent="0.2">
      <c r="A2554" s="62"/>
      <c r="B2554" s="62"/>
      <c r="C2554" s="62"/>
      <c r="D2554" s="62"/>
      <c r="E2554" s="76">
        <f ca="1">IFERROR(__xludf.DUMMYFUNCTION("""COMPUTED_VALUE"""),0)</f>
        <v>0</v>
      </c>
      <c r="F2554" s="77"/>
      <c r="G2554" s="77"/>
    </row>
    <row r="2555" spans="1:7" ht="12.75" x14ac:dyDescent="0.2">
      <c r="A2555" s="62"/>
      <c r="B2555" s="62"/>
      <c r="C2555" s="62"/>
      <c r="D2555" s="62"/>
      <c r="E2555" s="76">
        <f ca="1">IFERROR(__xludf.DUMMYFUNCTION("""COMPUTED_VALUE"""),0)</f>
        <v>0</v>
      </c>
      <c r="F2555" s="77"/>
      <c r="G2555" s="77"/>
    </row>
    <row r="2556" spans="1:7" ht="12.75" x14ac:dyDescent="0.2">
      <c r="A2556" s="62"/>
      <c r="B2556" s="62"/>
      <c r="C2556" s="62"/>
      <c r="D2556" s="62"/>
      <c r="E2556" s="76">
        <f ca="1">IFERROR(__xludf.DUMMYFUNCTION("""COMPUTED_VALUE"""),0)</f>
        <v>0</v>
      </c>
      <c r="F2556" s="77"/>
      <c r="G2556" s="77"/>
    </row>
    <row r="2557" spans="1:7" ht="12.75" x14ac:dyDescent="0.2">
      <c r="A2557" s="62"/>
      <c r="B2557" s="62"/>
      <c r="C2557" s="62"/>
      <c r="D2557" s="62"/>
      <c r="E2557" s="76">
        <f ca="1">IFERROR(__xludf.DUMMYFUNCTION("""COMPUTED_VALUE"""),0)</f>
        <v>0</v>
      </c>
      <c r="F2557" s="77"/>
      <c r="G2557" s="77"/>
    </row>
    <row r="2558" spans="1:7" ht="12.75" x14ac:dyDescent="0.2">
      <c r="A2558" s="62"/>
      <c r="B2558" s="62"/>
      <c r="C2558" s="62"/>
      <c r="D2558" s="62"/>
      <c r="E2558" s="76">
        <f ca="1">IFERROR(__xludf.DUMMYFUNCTION("""COMPUTED_VALUE"""),0)</f>
        <v>0</v>
      </c>
      <c r="F2558" s="77"/>
      <c r="G2558" s="77"/>
    </row>
    <row r="2559" spans="1:7" ht="12.75" x14ac:dyDescent="0.2">
      <c r="A2559" s="62"/>
      <c r="B2559" s="62"/>
      <c r="C2559" s="62"/>
      <c r="D2559" s="62"/>
      <c r="E2559" s="76">
        <f ca="1">IFERROR(__xludf.DUMMYFUNCTION("""COMPUTED_VALUE"""),0)</f>
        <v>0</v>
      </c>
      <c r="F2559" s="77"/>
      <c r="G2559" s="77"/>
    </row>
    <row r="2560" spans="1:7" ht="12.75" x14ac:dyDescent="0.2">
      <c r="A2560" s="62"/>
      <c r="B2560" s="62"/>
      <c r="C2560" s="62"/>
      <c r="D2560" s="62"/>
      <c r="E2560" s="76">
        <f ca="1">IFERROR(__xludf.DUMMYFUNCTION("""COMPUTED_VALUE"""),0)</f>
        <v>0</v>
      </c>
      <c r="F2560" s="77"/>
      <c r="G2560" s="77"/>
    </row>
    <row r="2561" spans="1:7" ht="12.75" x14ac:dyDescent="0.2">
      <c r="A2561" s="62"/>
      <c r="B2561" s="62"/>
      <c r="C2561" s="62"/>
      <c r="D2561" s="62"/>
      <c r="E2561" s="76">
        <f ca="1">IFERROR(__xludf.DUMMYFUNCTION("""COMPUTED_VALUE"""),0)</f>
        <v>0</v>
      </c>
      <c r="F2561" s="77"/>
      <c r="G2561" s="77"/>
    </row>
    <row r="2562" spans="1:7" ht="12.75" x14ac:dyDescent="0.2">
      <c r="A2562" s="62"/>
      <c r="B2562" s="62"/>
      <c r="C2562" s="62"/>
      <c r="D2562" s="62"/>
      <c r="E2562" s="76">
        <f ca="1">IFERROR(__xludf.DUMMYFUNCTION("""COMPUTED_VALUE"""),0)</f>
        <v>0</v>
      </c>
      <c r="F2562" s="77"/>
      <c r="G2562" s="77"/>
    </row>
    <row r="2563" spans="1:7" ht="12.75" x14ac:dyDescent="0.2">
      <c r="A2563" s="62"/>
      <c r="B2563" s="62"/>
      <c r="C2563" s="62"/>
      <c r="D2563" s="62"/>
      <c r="E2563" s="76">
        <f ca="1">IFERROR(__xludf.DUMMYFUNCTION("""COMPUTED_VALUE"""),0)</f>
        <v>0</v>
      </c>
      <c r="F2563" s="77"/>
      <c r="G2563" s="77"/>
    </row>
    <row r="2564" spans="1:7" ht="12.75" x14ac:dyDescent="0.2">
      <c r="A2564" s="62"/>
      <c r="B2564" s="62"/>
      <c r="C2564" s="62"/>
      <c r="D2564" s="62"/>
      <c r="E2564" s="76">
        <f ca="1">IFERROR(__xludf.DUMMYFUNCTION("""COMPUTED_VALUE"""),0)</f>
        <v>0</v>
      </c>
      <c r="F2564" s="77"/>
      <c r="G2564" s="77"/>
    </row>
    <row r="2565" spans="1:7" ht="12.75" x14ac:dyDescent="0.2">
      <c r="A2565" s="62"/>
      <c r="B2565" s="62"/>
      <c r="C2565" s="62"/>
      <c r="D2565" s="62"/>
      <c r="E2565" s="76">
        <f ca="1">IFERROR(__xludf.DUMMYFUNCTION("""COMPUTED_VALUE"""),0)</f>
        <v>0</v>
      </c>
      <c r="F2565" s="77"/>
      <c r="G2565" s="77"/>
    </row>
    <row r="2566" spans="1:7" ht="12.75" x14ac:dyDescent="0.2">
      <c r="A2566" s="62"/>
      <c r="B2566" s="62"/>
      <c r="C2566" s="62"/>
      <c r="D2566" s="62"/>
      <c r="E2566" s="76">
        <f ca="1">IFERROR(__xludf.DUMMYFUNCTION("""COMPUTED_VALUE"""),0)</f>
        <v>0</v>
      </c>
      <c r="F2566" s="77"/>
      <c r="G2566" s="77"/>
    </row>
    <row r="2567" spans="1:7" ht="12.75" x14ac:dyDescent="0.2">
      <c r="A2567" s="62"/>
      <c r="B2567" s="62"/>
      <c r="C2567" s="62"/>
      <c r="D2567" s="62"/>
      <c r="E2567" s="76">
        <f ca="1">IFERROR(__xludf.DUMMYFUNCTION("""COMPUTED_VALUE"""),0)</f>
        <v>0</v>
      </c>
      <c r="F2567" s="77"/>
      <c r="G2567" s="77"/>
    </row>
    <row r="2568" spans="1:7" ht="12.75" x14ac:dyDescent="0.2">
      <c r="A2568" s="62"/>
      <c r="B2568" s="62"/>
      <c r="C2568" s="62"/>
      <c r="D2568" s="62"/>
      <c r="E2568" s="76">
        <f ca="1">IFERROR(__xludf.DUMMYFUNCTION("""COMPUTED_VALUE"""),0)</f>
        <v>0</v>
      </c>
      <c r="F2568" s="77"/>
      <c r="G2568" s="77"/>
    </row>
    <row r="2569" spans="1:7" ht="12.75" x14ac:dyDescent="0.2">
      <c r="A2569" s="62"/>
      <c r="B2569" s="62"/>
      <c r="C2569" s="62"/>
      <c r="D2569" s="62"/>
      <c r="E2569" s="76">
        <f ca="1">IFERROR(__xludf.DUMMYFUNCTION("""COMPUTED_VALUE"""),0)</f>
        <v>0</v>
      </c>
      <c r="F2569" s="77"/>
      <c r="G2569" s="77"/>
    </row>
    <row r="2570" spans="1:7" ht="12.75" x14ac:dyDescent="0.2">
      <c r="A2570" s="62"/>
      <c r="B2570" s="62"/>
      <c r="C2570" s="62"/>
      <c r="D2570" s="62"/>
      <c r="E2570" s="76">
        <f ca="1">IFERROR(__xludf.DUMMYFUNCTION("""COMPUTED_VALUE"""),0)</f>
        <v>0</v>
      </c>
      <c r="F2570" s="77"/>
      <c r="G2570" s="77"/>
    </row>
    <row r="2571" spans="1:7" ht="12.75" x14ac:dyDescent="0.2">
      <c r="A2571" s="62"/>
      <c r="B2571" s="62"/>
      <c r="C2571" s="62"/>
      <c r="D2571" s="62"/>
      <c r="E2571" s="76">
        <f ca="1">IFERROR(__xludf.DUMMYFUNCTION("""COMPUTED_VALUE"""),0)</f>
        <v>0</v>
      </c>
      <c r="F2571" s="77"/>
      <c r="G2571" s="77"/>
    </row>
    <row r="2572" spans="1:7" ht="12.75" x14ac:dyDescent="0.2">
      <c r="A2572" s="62"/>
      <c r="B2572" s="62"/>
      <c r="C2572" s="62"/>
      <c r="D2572" s="62"/>
      <c r="E2572" s="76">
        <f ca="1">IFERROR(__xludf.DUMMYFUNCTION("""COMPUTED_VALUE"""),0)</f>
        <v>0</v>
      </c>
      <c r="F2572" s="77"/>
      <c r="G2572" s="77"/>
    </row>
    <row r="2573" spans="1:7" ht="12.75" x14ac:dyDescent="0.2">
      <c r="A2573" s="62"/>
      <c r="B2573" s="62"/>
      <c r="C2573" s="62"/>
      <c r="D2573" s="62"/>
      <c r="E2573" s="76">
        <f ca="1">IFERROR(__xludf.DUMMYFUNCTION("""COMPUTED_VALUE"""),0)</f>
        <v>0</v>
      </c>
      <c r="F2573" s="77"/>
      <c r="G2573" s="77"/>
    </row>
    <row r="2574" spans="1:7" ht="12.75" x14ac:dyDescent="0.2">
      <c r="A2574" s="62"/>
      <c r="B2574" s="62"/>
      <c r="C2574" s="62"/>
      <c r="D2574" s="62"/>
      <c r="E2574" s="76">
        <f ca="1">IFERROR(__xludf.DUMMYFUNCTION("""COMPUTED_VALUE"""),0)</f>
        <v>0</v>
      </c>
      <c r="F2574" s="77"/>
      <c r="G2574" s="77"/>
    </row>
    <row r="2575" spans="1:7" ht="12.75" x14ac:dyDescent="0.2">
      <c r="A2575" s="62"/>
      <c r="B2575" s="62"/>
      <c r="C2575" s="62"/>
      <c r="D2575" s="62"/>
      <c r="E2575" s="76">
        <f ca="1">IFERROR(__xludf.DUMMYFUNCTION("""COMPUTED_VALUE"""),0)</f>
        <v>0</v>
      </c>
      <c r="F2575" s="77"/>
      <c r="G2575" s="77"/>
    </row>
    <row r="2576" spans="1:7" ht="12.75" x14ac:dyDescent="0.2">
      <c r="A2576" s="62"/>
      <c r="B2576" s="62"/>
      <c r="C2576" s="62"/>
      <c r="D2576" s="62"/>
      <c r="E2576" s="76">
        <f ca="1">IFERROR(__xludf.DUMMYFUNCTION("""COMPUTED_VALUE"""),0)</f>
        <v>0</v>
      </c>
      <c r="F2576" s="77"/>
      <c r="G2576" s="77"/>
    </row>
    <row r="2577" spans="1:7" ht="12.75" x14ac:dyDescent="0.2">
      <c r="A2577" s="62"/>
      <c r="B2577" s="62"/>
      <c r="C2577" s="62"/>
      <c r="D2577" s="62"/>
      <c r="E2577" s="76">
        <f ca="1">IFERROR(__xludf.DUMMYFUNCTION("""COMPUTED_VALUE"""),0)</f>
        <v>0</v>
      </c>
      <c r="F2577" s="77"/>
      <c r="G2577" s="77"/>
    </row>
    <row r="2578" spans="1:7" ht="12.75" x14ac:dyDescent="0.2">
      <c r="A2578" s="62"/>
      <c r="B2578" s="62"/>
      <c r="C2578" s="62"/>
      <c r="D2578" s="62"/>
      <c r="E2578" s="76">
        <f ca="1">IFERROR(__xludf.DUMMYFUNCTION("""COMPUTED_VALUE"""),0)</f>
        <v>0</v>
      </c>
      <c r="F2578" s="77"/>
      <c r="G2578" s="77"/>
    </row>
    <row r="2579" spans="1:7" ht="12.75" x14ac:dyDescent="0.2">
      <c r="A2579" s="62"/>
      <c r="B2579" s="62"/>
      <c r="C2579" s="62"/>
      <c r="D2579" s="62"/>
      <c r="E2579" s="76">
        <f ca="1">IFERROR(__xludf.DUMMYFUNCTION("""COMPUTED_VALUE"""),0)</f>
        <v>0</v>
      </c>
      <c r="F2579" s="77"/>
      <c r="G2579" s="77"/>
    </row>
    <row r="2580" spans="1:7" ht="12.75" x14ac:dyDescent="0.2">
      <c r="A2580" s="62"/>
      <c r="B2580" s="62"/>
      <c r="C2580" s="62"/>
      <c r="D2580" s="62"/>
      <c r="E2580" s="76">
        <f ca="1">IFERROR(__xludf.DUMMYFUNCTION("""COMPUTED_VALUE"""),0)</f>
        <v>0</v>
      </c>
      <c r="F2580" s="77"/>
      <c r="G2580" s="77"/>
    </row>
    <row r="2581" spans="1:7" ht="12.75" x14ac:dyDescent="0.2">
      <c r="A2581" s="62"/>
      <c r="B2581" s="62"/>
      <c r="C2581" s="62"/>
      <c r="D2581" s="62"/>
      <c r="E2581" s="76">
        <f ca="1">IFERROR(__xludf.DUMMYFUNCTION("""COMPUTED_VALUE"""),0)</f>
        <v>0</v>
      </c>
      <c r="F2581" s="77"/>
      <c r="G2581" s="77"/>
    </row>
    <row r="2582" spans="1:7" ht="12.75" x14ac:dyDescent="0.2">
      <c r="A2582" s="62"/>
      <c r="B2582" s="62"/>
      <c r="C2582" s="62"/>
      <c r="D2582" s="62"/>
      <c r="E2582" s="76">
        <f ca="1">IFERROR(__xludf.DUMMYFUNCTION("""COMPUTED_VALUE"""),0)</f>
        <v>0</v>
      </c>
      <c r="F2582" s="77"/>
      <c r="G2582" s="77"/>
    </row>
    <row r="2583" spans="1:7" ht="12.75" x14ac:dyDescent="0.2">
      <c r="A2583" s="62"/>
      <c r="B2583" s="62"/>
      <c r="C2583" s="62"/>
      <c r="D2583" s="62"/>
      <c r="E2583" s="76">
        <f ca="1">IFERROR(__xludf.DUMMYFUNCTION("""COMPUTED_VALUE"""),0)</f>
        <v>0</v>
      </c>
      <c r="F2583" s="77"/>
      <c r="G2583" s="77"/>
    </row>
    <row r="2584" spans="1:7" ht="12.75" x14ac:dyDescent="0.2">
      <c r="A2584" s="62"/>
      <c r="B2584" s="62"/>
      <c r="C2584" s="62"/>
      <c r="D2584" s="62"/>
      <c r="E2584" s="76">
        <f ca="1">IFERROR(__xludf.DUMMYFUNCTION("""COMPUTED_VALUE"""),0)</f>
        <v>0</v>
      </c>
      <c r="F2584" s="77"/>
      <c r="G2584" s="77"/>
    </row>
    <row r="2585" spans="1:7" ht="12.75" x14ac:dyDescent="0.2">
      <c r="A2585" s="62"/>
      <c r="B2585" s="62"/>
      <c r="C2585" s="62"/>
      <c r="D2585" s="62"/>
      <c r="E2585" s="76">
        <f ca="1">IFERROR(__xludf.DUMMYFUNCTION("""COMPUTED_VALUE"""),0)</f>
        <v>0</v>
      </c>
      <c r="F2585" s="77"/>
      <c r="G2585" s="77"/>
    </row>
    <row r="2586" spans="1:7" ht="12.75" x14ac:dyDescent="0.2">
      <c r="A2586" s="62"/>
      <c r="B2586" s="62"/>
      <c r="C2586" s="62"/>
      <c r="D2586" s="62"/>
      <c r="E2586" s="76">
        <f ca="1">IFERROR(__xludf.DUMMYFUNCTION("""COMPUTED_VALUE"""),0)</f>
        <v>0</v>
      </c>
      <c r="F2586" s="77"/>
      <c r="G2586" s="77"/>
    </row>
    <row r="2587" spans="1:7" ht="12.75" x14ac:dyDescent="0.2">
      <c r="A2587" s="62"/>
      <c r="B2587" s="62"/>
      <c r="C2587" s="62"/>
      <c r="D2587" s="62"/>
      <c r="E2587" s="76">
        <f ca="1">IFERROR(__xludf.DUMMYFUNCTION("""COMPUTED_VALUE"""),0)</f>
        <v>0</v>
      </c>
      <c r="F2587" s="77"/>
      <c r="G2587" s="77"/>
    </row>
    <row r="2588" spans="1:7" ht="12.75" x14ac:dyDescent="0.2">
      <c r="A2588" s="62"/>
      <c r="B2588" s="62"/>
      <c r="C2588" s="62"/>
      <c r="D2588" s="62"/>
      <c r="E2588" s="76">
        <f ca="1">IFERROR(__xludf.DUMMYFUNCTION("""COMPUTED_VALUE"""),0)</f>
        <v>0</v>
      </c>
      <c r="F2588" s="77"/>
      <c r="G2588" s="77"/>
    </row>
    <row r="2589" spans="1:7" ht="12.75" x14ac:dyDescent="0.2">
      <c r="A2589" s="62"/>
      <c r="B2589" s="62"/>
      <c r="C2589" s="62"/>
      <c r="D2589" s="62"/>
      <c r="E2589" s="76">
        <f ca="1">IFERROR(__xludf.DUMMYFUNCTION("""COMPUTED_VALUE"""),0)</f>
        <v>0</v>
      </c>
      <c r="F2589" s="77"/>
      <c r="G2589" s="77"/>
    </row>
    <row r="2590" spans="1:7" ht="12.75" x14ac:dyDescent="0.2">
      <c r="A2590" s="62">
        <f ca="1">IFERROR(__xludf.DUMMYFUNCTION("""COMPUTED_VALUE"""),10160336)</f>
        <v>10160336</v>
      </c>
      <c r="B2590" s="62" t="str">
        <f ca="1">IFERROR(__xludf.DUMMYFUNCTION("""COMPUTED_VALUE"""),"Puerto de Carga Iphone 13 ")</f>
        <v xml:space="preserve">Puerto de Carga Iphone 13 </v>
      </c>
      <c r="C2590" s="75">
        <f ca="1">IFERROR(__xludf.DUMMYFUNCTION("""COMPUTED_VALUE"""),240)</f>
        <v>240</v>
      </c>
      <c r="D2590" s="75">
        <f ca="1">IFERROR(__xludf.DUMMYFUNCTION("""COMPUTED_VALUE"""),50)</f>
        <v>50</v>
      </c>
      <c r="E2590" s="76">
        <f ca="1">IFERROR(__xludf.DUMMYFUNCTION("""COMPUTED_VALUE"""),290)</f>
        <v>290</v>
      </c>
      <c r="F2590" s="77">
        <f ca="1">IFERROR(__xludf.DUMMYFUNCTION("""COMPUTED_VALUE"""),10160336)</f>
        <v>10160336</v>
      </c>
      <c r="G2590" s="77"/>
    </row>
    <row r="2591" spans="1:7" ht="12.75" x14ac:dyDescent="0.2">
      <c r="A2591" s="62">
        <f ca="1">IFERROR(__xludf.DUMMYFUNCTION("""COMPUTED_VALUE"""),10160337)</f>
        <v>10160337</v>
      </c>
      <c r="B2591" s="62" t="str">
        <f ca="1">IFERROR(__xludf.DUMMYFUNCTION("""COMPUTED_VALUE"""),"Puerto de Carga Iphone 13 Pro")</f>
        <v>Puerto de Carga Iphone 13 Pro</v>
      </c>
      <c r="C2591" s="75">
        <f ca="1">IFERROR(__xludf.DUMMYFUNCTION("""COMPUTED_VALUE"""),340)</f>
        <v>340</v>
      </c>
      <c r="D2591" s="75">
        <f ca="1">IFERROR(__xludf.DUMMYFUNCTION("""COMPUTED_VALUE"""),50)</f>
        <v>50</v>
      </c>
      <c r="E2591" s="76">
        <f ca="1">IFERROR(__xludf.DUMMYFUNCTION("""COMPUTED_VALUE"""),390)</f>
        <v>390</v>
      </c>
      <c r="F2591" s="77">
        <f ca="1">IFERROR(__xludf.DUMMYFUNCTION("""COMPUTED_VALUE"""),10160337)</f>
        <v>10160337</v>
      </c>
      <c r="G2591" s="77"/>
    </row>
    <row r="2592" spans="1:7" ht="12.75" x14ac:dyDescent="0.2">
      <c r="A2592" s="62">
        <f ca="1">IFERROR(__xludf.DUMMYFUNCTION("""COMPUTED_VALUE"""),10160338)</f>
        <v>10160338</v>
      </c>
      <c r="B2592" s="62" t="str">
        <f ca="1">IFERROR(__xludf.DUMMYFUNCTION("""COMPUTED_VALUE"""),"Puerto de Carga Iphone 13 Pro Max")</f>
        <v>Puerto de Carga Iphone 13 Pro Max</v>
      </c>
      <c r="C2592" s="75">
        <f ca="1">IFERROR(__xludf.DUMMYFUNCTION("""COMPUTED_VALUE"""),440)</f>
        <v>440</v>
      </c>
      <c r="D2592" s="75">
        <f ca="1">IFERROR(__xludf.DUMMYFUNCTION("""COMPUTED_VALUE"""),50)</f>
        <v>50</v>
      </c>
      <c r="E2592" s="76">
        <f ca="1">IFERROR(__xludf.DUMMYFUNCTION("""COMPUTED_VALUE"""),490)</f>
        <v>490</v>
      </c>
      <c r="F2592" s="77">
        <f ca="1">IFERROR(__xludf.DUMMYFUNCTION("""COMPUTED_VALUE"""),10160338)</f>
        <v>10160338</v>
      </c>
      <c r="G2592" s="77"/>
    </row>
    <row r="2593" spans="1:7" ht="12.75" x14ac:dyDescent="0.2">
      <c r="A2593" s="62">
        <f ca="1">IFERROR(__xludf.DUMMYFUNCTION("""COMPUTED_VALUE"""),10020186)</f>
        <v>10020186</v>
      </c>
      <c r="B2593" s="62" t="str">
        <f ca="1">IFERROR(__xludf.DUMMYFUNCTION("""COMPUTED_VALUE"""),"Baterias Celulares Iphone 13")</f>
        <v>Baterias Celulares Iphone 13</v>
      </c>
      <c r="C2593" s="75">
        <f ca="1">IFERROR(__xludf.DUMMYFUNCTION("""COMPUTED_VALUE"""),220)</f>
        <v>220</v>
      </c>
      <c r="D2593" s="75">
        <f ca="1">IFERROR(__xludf.DUMMYFUNCTION("""COMPUTED_VALUE"""),50)</f>
        <v>50</v>
      </c>
      <c r="E2593" s="76">
        <f ca="1">IFERROR(__xludf.DUMMYFUNCTION("""COMPUTED_VALUE"""),270)</f>
        <v>270</v>
      </c>
      <c r="F2593" s="77">
        <f ca="1">IFERROR(__xludf.DUMMYFUNCTION("""COMPUTED_VALUE"""),10020186)</f>
        <v>10020186</v>
      </c>
      <c r="G2593" s="77"/>
    </row>
    <row r="2594" spans="1:7" ht="12.75" x14ac:dyDescent="0.2">
      <c r="A2594" s="62">
        <f ca="1">IFERROR(__xludf.DUMMYFUNCTION("""COMPUTED_VALUE"""),10020187)</f>
        <v>10020187</v>
      </c>
      <c r="B2594" s="62" t="str">
        <f ca="1">IFERROR(__xludf.DUMMYFUNCTION("""COMPUTED_VALUE"""),"Baterias Celulares Iphone 13P")</f>
        <v>Baterias Celulares Iphone 13P</v>
      </c>
      <c r="C2594" s="75">
        <f ca="1">IFERROR(__xludf.DUMMYFUNCTION("""COMPUTED_VALUE"""),230)</f>
        <v>230</v>
      </c>
      <c r="D2594" s="75">
        <f ca="1">IFERROR(__xludf.DUMMYFUNCTION("""COMPUTED_VALUE"""),50)</f>
        <v>50</v>
      </c>
      <c r="E2594" s="76">
        <f ca="1">IFERROR(__xludf.DUMMYFUNCTION("""COMPUTED_VALUE"""),280)</f>
        <v>280</v>
      </c>
      <c r="F2594" s="77">
        <f ca="1">IFERROR(__xludf.DUMMYFUNCTION("""COMPUTED_VALUE"""),10020187)</f>
        <v>10020187</v>
      </c>
      <c r="G2594" s="77"/>
    </row>
    <row r="2595" spans="1:7" ht="12.75" x14ac:dyDescent="0.2">
      <c r="A2595" s="62">
        <f ca="1">IFERROR(__xludf.DUMMYFUNCTION("""COMPUTED_VALUE"""),10020188)</f>
        <v>10020188</v>
      </c>
      <c r="B2595" s="62" t="str">
        <f ca="1">IFERROR(__xludf.DUMMYFUNCTION("""COMPUTED_VALUE"""),"Baterias Celulares Iphone 13PM")</f>
        <v>Baterias Celulares Iphone 13PM</v>
      </c>
      <c r="C2595" s="75">
        <f ca="1">IFERROR(__xludf.DUMMYFUNCTION("""COMPUTED_VALUE"""),240)</f>
        <v>240</v>
      </c>
      <c r="D2595" s="75">
        <f ca="1">IFERROR(__xludf.DUMMYFUNCTION("""COMPUTED_VALUE"""),50)</f>
        <v>50</v>
      </c>
      <c r="E2595" s="76">
        <f ca="1">IFERROR(__xludf.DUMMYFUNCTION("""COMPUTED_VALUE"""),290)</f>
        <v>290</v>
      </c>
      <c r="F2595" s="77">
        <f ca="1">IFERROR(__xludf.DUMMYFUNCTION("""COMPUTED_VALUE"""),10020188)</f>
        <v>10020188</v>
      </c>
      <c r="G2595" s="77"/>
    </row>
    <row r="2596" spans="1:7" ht="12.75" x14ac:dyDescent="0.2">
      <c r="A2596" s="62">
        <f ca="1">IFERROR(__xludf.DUMMYFUNCTION("""COMPUTED_VALUE"""),10020189)</f>
        <v>10020189</v>
      </c>
      <c r="B2596" s="62" t="str">
        <f ca="1">IFERROR(__xludf.DUMMYFUNCTION("""COMPUTED_VALUE"""),"Baterias Celulares Samsung A50s")</f>
        <v>Baterias Celulares Samsung A50s</v>
      </c>
      <c r="C2596" s="75">
        <f ca="1">IFERROR(__xludf.DUMMYFUNCTION("""COMPUTED_VALUE"""),100)</f>
        <v>100</v>
      </c>
      <c r="D2596" s="75">
        <f ca="1">IFERROR(__xludf.DUMMYFUNCTION("""COMPUTED_VALUE"""),80)</f>
        <v>80</v>
      </c>
      <c r="E2596" s="76">
        <f ca="1">IFERROR(__xludf.DUMMYFUNCTION("""COMPUTED_VALUE"""),180)</f>
        <v>180</v>
      </c>
      <c r="F2596" s="77">
        <f ca="1">IFERROR(__xludf.DUMMYFUNCTION("""COMPUTED_VALUE"""),10020189)</f>
        <v>10020189</v>
      </c>
      <c r="G2596" s="77"/>
    </row>
    <row r="2597" spans="1:7" ht="12.75" x14ac:dyDescent="0.2">
      <c r="A2597" s="62">
        <f ca="1">IFERROR(__xludf.DUMMYFUNCTION("""COMPUTED_VALUE"""),10010528)</f>
        <v>10010528</v>
      </c>
      <c r="B2597" s="62" t="str">
        <f ca="1">IFERROR(__xludf.DUMMYFUNCTION("""COMPUTED_VALUE"""),"Pantalla Samsung Z Flip 4 Interna")</f>
        <v>Pantalla Samsung Z Flip 4 Interna</v>
      </c>
      <c r="C2597" s="75">
        <f ca="1">IFERROR(__xludf.DUMMYFUNCTION("""COMPUTED_VALUE"""),2390)</f>
        <v>2390</v>
      </c>
      <c r="D2597" s="62"/>
      <c r="E2597" s="76">
        <f ca="1">IFERROR(__xludf.DUMMYFUNCTION("""COMPUTED_VALUE"""),2390)</f>
        <v>2390</v>
      </c>
      <c r="F2597" s="77">
        <f ca="1">IFERROR(__xludf.DUMMYFUNCTION("""COMPUTED_VALUE"""),10010528)</f>
        <v>10010528</v>
      </c>
      <c r="G2597" s="77"/>
    </row>
    <row r="2598" spans="1:7" ht="12.75" x14ac:dyDescent="0.2">
      <c r="A2598" s="62">
        <f ca="1">IFERROR(__xludf.DUMMYFUNCTION("""COMPUTED_VALUE"""),10010529)</f>
        <v>10010529</v>
      </c>
      <c r="B2598" s="62" t="str">
        <f ca="1">IFERROR(__xludf.DUMMYFUNCTION("""COMPUTED_VALUE"""),"Pantalla Xiaomi Mi 12T Frame")</f>
        <v>Pantalla Xiaomi Mi 12T Frame</v>
      </c>
      <c r="C2598" s="75">
        <f ca="1">IFERROR(__xludf.DUMMYFUNCTION("""COMPUTED_VALUE"""),390)</f>
        <v>390</v>
      </c>
      <c r="D2598" s="75">
        <f ca="1">IFERROR(__xludf.DUMMYFUNCTION("""COMPUTED_VALUE"""),100)</f>
        <v>100</v>
      </c>
      <c r="E2598" s="76">
        <f ca="1">IFERROR(__xludf.DUMMYFUNCTION("""COMPUTED_VALUE"""),490)</f>
        <v>490</v>
      </c>
      <c r="F2598" s="77">
        <f ca="1">IFERROR(__xludf.DUMMYFUNCTION("""COMPUTED_VALUE"""),10010529)</f>
        <v>10010529</v>
      </c>
      <c r="G2598" s="77"/>
    </row>
    <row r="2599" spans="1:7" ht="12.75" x14ac:dyDescent="0.2">
      <c r="A2599" s="62">
        <f ca="1">IFERROR(__xludf.DUMMYFUNCTION("""COMPUTED_VALUE"""),10010530)</f>
        <v>10010530</v>
      </c>
      <c r="B2599" s="62" t="str">
        <f ca="1">IFERROR(__xludf.DUMMYFUNCTION("""COMPUTED_VALUE"""),"Pantalla Xiaomi Poco F4 GT")</f>
        <v>Pantalla Xiaomi Poco F4 GT</v>
      </c>
      <c r="C2599" s="75">
        <f ca="1">IFERROR(__xludf.DUMMYFUNCTION("""COMPUTED_VALUE"""),240)</f>
        <v>240</v>
      </c>
      <c r="D2599" s="75">
        <f ca="1">IFERROR(__xludf.DUMMYFUNCTION("""COMPUTED_VALUE"""),100)</f>
        <v>100</v>
      </c>
      <c r="E2599" s="76">
        <f ca="1">IFERROR(__xludf.DUMMYFUNCTION("""COMPUTED_VALUE"""),340)</f>
        <v>340</v>
      </c>
      <c r="F2599" s="77">
        <f ca="1">IFERROR(__xludf.DUMMYFUNCTION("""COMPUTED_VALUE"""),10010530)</f>
        <v>10010530</v>
      </c>
      <c r="G2599" s="77"/>
    </row>
    <row r="2600" spans="1:7" ht="12.75" x14ac:dyDescent="0.2">
      <c r="A2600" s="62">
        <f ca="1">IFERROR(__xludf.DUMMYFUNCTION("""COMPUTED_VALUE"""),10010531)</f>
        <v>10010531</v>
      </c>
      <c r="B2600" s="62" t="str">
        <f ca="1">IFERROR(__xludf.DUMMYFUNCTION("""COMPUTED_VALUE"""),"Pantalla Xiaomi Poco C40 / Redmi 10C")</f>
        <v>Pantalla Xiaomi Poco C40 / Redmi 10C</v>
      </c>
      <c r="C2600" s="75">
        <f ca="1">IFERROR(__xludf.DUMMYFUNCTION("""COMPUTED_VALUE"""),140)</f>
        <v>140</v>
      </c>
      <c r="D2600" s="75">
        <f ca="1">IFERROR(__xludf.DUMMYFUNCTION("""COMPUTED_VALUE"""),100)</f>
        <v>100</v>
      </c>
      <c r="E2600" s="76">
        <f ca="1">IFERROR(__xludf.DUMMYFUNCTION("""COMPUTED_VALUE"""),240)</f>
        <v>240</v>
      </c>
      <c r="F2600" s="77">
        <f ca="1">IFERROR(__xludf.DUMMYFUNCTION("""COMPUTED_VALUE"""),10010531)</f>
        <v>10010531</v>
      </c>
      <c r="G2600" s="77"/>
    </row>
    <row r="2601" spans="1:7" ht="12.75" x14ac:dyDescent="0.2">
      <c r="A2601" s="62">
        <f ca="1">IFERROR(__xludf.DUMMYFUNCTION("""COMPUTED_VALUE"""),10010532)</f>
        <v>10010532</v>
      </c>
      <c r="B2601" s="62" t="str">
        <f ca="1">IFERROR(__xludf.DUMMYFUNCTION("""COMPUTED_VALUE"""),"Pantalla Xiaomi Poco M5s / Redmi 10 5g / note 11e / Poco M4 5g")</f>
        <v>Pantalla Xiaomi Poco M5s / Redmi 10 5g / note 11e / Poco M4 5g</v>
      </c>
      <c r="C2601" s="75">
        <f ca="1">IFERROR(__xludf.DUMMYFUNCTION("""COMPUTED_VALUE"""),190)</f>
        <v>190</v>
      </c>
      <c r="D2601" s="75">
        <f ca="1">IFERROR(__xludf.DUMMYFUNCTION("""COMPUTED_VALUE"""),100)</f>
        <v>100</v>
      </c>
      <c r="E2601" s="76">
        <f ca="1">IFERROR(__xludf.DUMMYFUNCTION("""COMPUTED_VALUE"""),290)</f>
        <v>290</v>
      </c>
      <c r="F2601" s="77">
        <f ca="1">IFERROR(__xludf.DUMMYFUNCTION("""COMPUTED_VALUE"""),10010532)</f>
        <v>10010532</v>
      </c>
      <c r="G2601" s="77"/>
    </row>
    <row r="2602" spans="1:7" ht="12.75" x14ac:dyDescent="0.2">
      <c r="A2602" s="62">
        <f ca="1">IFERROR(__xludf.DUMMYFUNCTION("""COMPUTED_VALUE"""),10010533)</f>
        <v>10010533</v>
      </c>
      <c r="B2602" s="62" t="str">
        <f ca="1">IFERROR(__xludf.DUMMYFUNCTION("""COMPUTED_VALUE"""),"Pantalla Vivo Y11s / Y12s / Y12s 2021 / Y20 / Y20 2021 / Y20i / Y20s / Y20sg / Y12a")</f>
        <v>Pantalla Vivo Y11s / Y12s / Y12s 2021 / Y20 / Y20 2021 / Y20i / Y20s / Y20sg / Y12a</v>
      </c>
      <c r="C2602" s="75">
        <f ca="1">IFERROR(__xludf.DUMMYFUNCTION("""COMPUTED_VALUE"""),140)</f>
        <v>140</v>
      </c>
      <c r="D2602" s="75">
        <f ca="1">IFERROR(__xludf.DUMMYFUNCTION("""COMPUTED_VALUE"""),100)</f>
        <v>100</v>
      </c>
      <c r="E2602" s="76">
        <f ca="1">IFERROR(__xludf.DUMMYFUNCTION("""COMPUTED_VALUE"""),240)</f>
        <v>240</v>
      </c>
      <c r="F2602" s="77">
        <f ca="1">IFERROR(__xludf.DUMMYFUNCTION("""COMPUTED_VALUE"""),10010533)</f>
        <v>10010533</v>
      </c>
      <c r="G2602" s="77"/>
    </row>
    <row r="2603" spans="1:7" ht="12.75" x14ac:dyDescent="0.2">
      <c r="A2603" s="62">
        <f ca="1">IFERROR(__xludf.DUMMYFUNCTION("""COMPUTED_VALUE"""),10010534)</f>
        <v>10010534</v>
      </c>
      <c r="B2603" s="62" t="str">
        <f ca="1">IFERROR(__xludf.DUMMYFUNCTION("""COMPUTED_VALUE"""),"Pantalla Vivo X80 Pro")</f>
        <v>Pantalla Vivo X80 Pro</v>
      </c>
      <c r="C2603" s="75">
        <f ca="1">IFERROR(__xludf.DUMMYFUNCTION("""COMPUTED_VALUE"""),1290)</f>
        <v>1290</v>
      </c>
      <c r="D2603" s="75">
        <f ca="1">IFERROR(__xludf.DUMMYFUNCTION("""COMPUTED_VALUE"""),100)</f>
        <v>100</v>
      </c>
      <c r="E2603" s="76">
        <f ca="1">IFERROR(__xludf.DUMMYFUNCTION("""COMPUTED_VALUE"""),1390)</f>
        <v>1390</v>
      </c>
      <c r="F2603" s="77">
        <f ca="1">IFERROR(__xludf.DUMMYFUNCTION("""COMPUTED_VALUE"""),10010534)</f>
        <v>10010534</v>
      </c>
      <c r="G2603" s="77"/>
    </row>
    <row r="2604" spans="1:7" ht="12.75" x14ac:dyDescent="0.2">
      <c r="A2604" s="62"/>
      <c r="B2604" s="62"/>
      <c r="C2604" s="62"/>
      <c r="D2604" s="62"/>
      <c r="E2604" s="76">
        <f ca="1">IFERROR(__xludf.DUMMYFUNCTION("""COMPUTED_VALUE"""),0)</f>
        <v>0</v>
      </c>
      <c r="F2604" s="77"/>
      <c r="G2604" s="77"/>
    </row>
    <row r="2605" spans="1:7" ht="12.75" x14ac:dyDescent="0.2">
      <c r="A2605" s="62"/>
      <c r="B2605" s="62"/>
      <c r="C2605" s="62"/>
      <c r="D2605" s="62"/>
      <c r="E2605" s="76">
        <f ca="1">IFERROR(__xludf.DUMMYFUNCTION("""COMPUTED_VALUE"""),0)</f>
        <v>0</v>
      </c>
      <c r="F2605" s="77"/>
      <c r="G2605" s="77"/>
    </row>
    <row r="2606" spans="1:7" ht="12.75" x14ac:dyDescent="0.2">
      <c r="A2606" s="62"/>
      <c r="B2606" s="62"/>
      <c r="C2606" s="62"/>
      <c r="D2606" s="62"/>
      <c r="E2606" s="76">
        <f ca="1">IFERROR(__xludf.DUMMYFUNCTION("""COMPUTED_VALUE"""),0)</f>
        <v>0</v>
      </c>
      <c r="F2606" s="77"/>
      <c r="G2606" s="77"/>
    </row>
    <row r="2607" spans="1:7" ht="12.75" x14ac:dyDescent="0.2">
      <c r="A2607" s="62"/>
      <c r="B2607" s="62"/>
      <c r="C2607" s="62"/>
      <c r="D2607" s="62"/>
      <c r="E2607" s="76">
        <f ca="1">IFERROR(__xludf.DUMMYFUNCTION("""COMPUTED_VALUE"""),0)</f>
        <v>0</v>
      </c>
      <c r="F2607" s="77"/>
      <c r="G2607" s="77"/>
    </row>
    <row r="2608" spans="1:7" ht="12.75" x14ac:dyDescent="0.2">
      <c r="A2608" s="62"/>
      <c r="B2608" s="62"/>
      <c r="C2608" s="62"/>
      <c r="D2608" s="62"/>
      <c r="E2608" s="76">
        <f ca="1">IFERROR(__xludf.DUMMYFUNCTION("""COMPUTED_VALUE"""),0)</f>
        <v>0</v>
      </c>
      <c r="F2608" s="77"/>
      <c r="G2608" s="77"/>
    </row>
    <row r="2609" spans="1:7" ht="12.75" x14ac:dyDescent="0.2">
      <c r="A2609" s="62"/>
      <c r="B2609" s="62"/>
      <c r="C2609" s="62"/>
      <c r="D2609" s="62"/>
      <c r="E2609" s="76">
        <f ca="1">IFERROR(__xludf.DUMMYFUNCTION("""COMPUTED_VALUE"""),0)</f>
        <v>0</v>
      </c>
      <c r="F2609" s="77"/>
      <c r="G2609" s="77"/>
    </row>
    <row r="2610" spans="1:7" ht="12.75" x14ac:dyDescent="0.2">
      <c r="A2610" s="62"/>
      <c r="B2610" s="62"/>
      <c r="C2610" s="62"/>
      <c r="D2610" s="62"/>
      <c r="E2610" s="76">
        <f ca="1">IFERROR(__xludf.DUMMYFUNCTION("""COMPUTED_VALUE"""),0)</f>
        <v>0</v>
      </c>
      <c r="F2610" s="77"/>
      <c r="G2610" s="77"/>
    </row>
    <row r="2611" spans="1:7" ht="12.75" x14ac:dyDescent="0.2">
      <c r="A2611" s="62"/>
      <c r="B2611" s="62"/>
      <c r="C2611" s="62"/>
      <c r="D2611" s="62"/>
      <c r="E2611" s="76">
        <f ca="1">IFERROR(__xludf.DUMMYFUNCTION("""COMPUTED_VALUE"""),0)</f>
        <v>0</v>
      </c>
      <c r="F2611" s="77"/>
      <c r="G2611" s="77"/>
    </row>
    <row r="2612" spans="1:7" ht="12.75" x14ac:dyDescent="0.2">
      <c r="A2612" s="62"/>
      <c r="B2612" s="62"/>
      <c r="C2612" s="62"/>
      <c r="D2612" s="62"/>
      <c r="E2612" s="76">
        <f ca="1">IFERROR(__xludf.DUMMYFUNCTION("""COMPUTED_VALUE"""),0)</f>
        <v>0</v>
      </c>
      <c r="F2612" s="77"/>
      <c r="G2612" s="77"/>
    </row>
    <row r="2613" spans="1:7" ht="12.75" x14ac:dyDescent="0.2">
      <c r="A2613" s="62"/>
      <c r="B2613" s="62"/>
      <c r="C2613" s="62"/>
      <c r="D2613" s="62"/>
      <c r="E2613" s="76">
        <f ca="1">IFERROR(__xludf.DUMMYFUNCTION("""COMPUTED_VALUE"""),0)</f>
        <v>0</v>
      </c>
      <c r="F2613" s="77"/>
      <c r="G2613" s="77"/>
    </row>
    <row r="2614" spans="1:7" ht="12.75" x14ac:dyDescent="0.2">
      <c r="A2614" s="62"/>
      <c r="B2614" s="62"/>
      <c r="C2614" s="62"/>
      <c r="D2614" s="62"/>
      <c r="E2614" s="76">
        <f ca="1">IFERROR(__xludf.DUMMYFUNCTION("""COMPUTED_VALUE"""),0)</f>
        <v>0</v>
      </c>
      <c r="F2614" s="77"/>
      <c r="G2614" s="77"/>
    </row>
    <row r="2615" spans="1:7" ht="12.75" x14ac:dyDescent="0.2">
      <c r="A2615" s="62">
        <f ca="1">IFERROR(__xludf.DUMMYFUNCTION("""COMPUTED_VALUE"""),20140414)</f>
        <v>20140414</v>
      </c>
      <c r="B2615" s="62" t="str">
        <f ca="1">IFERROR(__xludf.DUMMYFUNCTION("""COMPUTED_VALUE"""),"Cable Magsafe 3 Original")</f>
        <v>Cable Magsafe 3 Original</v>
      </c>
      <c r="C2615" s="75">
        <f ca="1">IFERROR(__xludf.DUMMYFUNCTION("""COMPUTED_VALUE"""),230)</f>
        <v>230</v>
      </c>
      <c r="D2615" s="62"/>
      <c r="E2615" s="76">
        <f ca="1">IFERROR(__xludf.DUMMYFUNCTION("""COMPUTED_VALUE"""),230)</f>
        <v>230</v>
      </c>
      <c r="F2615" s="77">
        <f ca="1">IFERROR(__xludf.DUMMYFUNCTION("""COMPUTED_VALUE"""),20140414)</f>
        <v>20140414</v>
      </c>
      <c r="G2615" s="77"/>
    </row>
    <row r="2616" spans="1:7" ht="12.75" x14ac:dyDescent="0.2">
      <c r="A2616" s="62"/>
      <c r="B2616" s="62"/>
      <c r="C2616" s="62"/>
      <c r="D2616" s="62"/>
      <c r="E2616" s="76">
        <f ca="1">IFERROR(__xludf.DUMMYFUNCTION("""COMPUTED_VALUE"""),0)</f>
        <v>0</v>
      </c>
      <c r="F2616" s="77"/>
      <c r="G2616" s="77"/>
    </row>
    <row r="2617" spans="1:7" ht="12.75" x14ac:dyDescent="0.2">
      <c r="A2617" s="62"/>
      <c r="B2617" s="62"/>
      <c r="C2617" s="62"/>
      <c r="D2617" s="62"/>
      <c r="E2617" s="76">
        <f ca="1">IFERROR(__xludf.DUMMYFUNCTION("""COMPUTED_VALUE"""),0)</f>
        <v>0</v>
      </c>
      <c r="F2617" s="77"/>
      <c r="G2617" s="77"/>
    </row>
    <row r="2618" spans="1:7" ht="12.75" x14ac:dyDescent="0.2">
      <c r="A2618" s="62"/>
      <c r="B2618" s="62"/>
      <c r="C2618" s="62"/>
      <c r="D2618" s="62"/>
      <c r="E2618" s="76">
        <f ca="1">IFERROR(__xludf.DUMMYFUNCTION("""COMPUTED_VALUE"""),0)</f>
        <v>0</v>
      </c>
      <c r="F2618" s="77"/>
      <c r="G2618" s="77"/>
    </row>
    <row r="2619" spans="1:7" ht="12.75" x14ac:dyDescent="0.2">
      <c r="A2619" s="62"/>
      <c r="B2619" s="62"/>
      <c r="C2619" s="62"/>
      <c r="D2619" s="62"/>
      <c r="E2619" s="76">
        <f ca="1">IFERROR(__xludf.DUMMYFUNCTION("""COMPUTED_VALUE"""),0)</f>
        <v>0</v>
      </c>
      <c r="F2619" s="77"/>
      <c r="G2619" s="77"/>
    </row>
    <row r="2620" spans="1:7" ht="12.75" x14ac:dyDescent="0.2">
      <c r="A2620" s="62"/>
      <c r="B2620" s="62"/>
      <c r="C2620" s="62"/>
      <c r="D2620" s="62"/>
      <c r="E2620" s="76">
        <f ca="1">IFERROR(__xludf.DUMMYFUNCTION("""COMPUTED_VALUE"""),0)</f>
        <v>0</v>
      </c>
      <c r="F2620" s="77"/>
      <c r="G2620" s="77"/>
    </row>
    <row r="2621" spans="1:7" ht="12.75" x14ac:dyDescent="0.2">
      <c r="A2621" s="62"/>
      <c r="B2621" s="62"/>
      <c r="C2621" s="62"/>
      <c r="D2621" s="62"/>
      <c r="E2621" s="76">
        <f ca="1">IFERROR(__xludf.DUMMYFUNCTION("""COMPUTED_VALUE"""),0)</f>
        <v>0</v>
      </c>
      <c r="F2621" s="77"/>
      <c r="G2621" s="77"/>
    </row>
    <row r="2622" spans="1:7" ht="12.75" x14ac:dyDescent="0.2">
      <c r="A2622" s="62"/>
      <c r="B2622" s="62"/>
      <c r="C2622" s="62"/>
      <c r="D2622" s="62"/>
      <c r="E2622" s="76">
        <f ca="1">IFERROR(__xludf.DUMMYFUNCTION("""COMPUTED_VALUE"""),0)</f>
        <v>0</v>
      </c>
      <c r="F2622" s="77"/>
      <c r="G2622" s="77"/>
    </row>
    <row r="2623" spans="1:7" ht="12.75" x14ac:dyDescent="0.2">
      <c r="A2623" s="62"/>
      <c r="B2623" s="62"/>
      <c r="C2623" s="62"/>
      <c r="D2623" s="62"/>
      <c r="E2623" s="76">
        <f ca="1">IFERROR(__xludf.DUMMYFUNCTION("""COMPUTED_VALUE"""),0)</f>
        <v>0</v>
      </c>
      <c r="F2623" s="77"/>
      <c r="G2623" s="77"/>
    </row>
    <row r="2624" spans="1:7" ht="12.75" x14ac:dyDescent="0.2">
      <c r="A2624" s="62"/>
      <c r="B2624" s="62"/>
      <c r="C2624" s="62"/>
      <c r="D2624" s="62"/>
      <c r="E2624" s="76">
        <f ca="1">IFERROR(__xludf.DUMMYFUNCTION("""COMPUTED_VALUE"""),0)</f>
        <v>0</v>
      </c>
      <c r="F2624" s="77"/>
      <c r="G2624" s="77"/>
    </row>
    <row r="2625" spans="1:7" ht="12.75" x14ac:dyDescent="0.2">
      <c r="A2625" s="62"/>
      <c r="B2625" s="62"/>
      <c r="C2625" s="62"/>
      <c r="D2625" s="62"/>
      <c r="E2625" s="76">
        <f ca="1">IFERROR(__xludf.DUMMYFUNCTION("""COMPUTED_VALUE"""),0)</f>
        <v>0</v>
      </c>
      <c r="F2625" s="77"/>
      <c r="G2625" s="77"/>
    </row>
    <row r="2626" spans="1:7" ht="12.75" x14ac:dyDescent="0.2">
      <c r="A2626" s="62"/>
      <c r="B2626" s="62"/>
      <c r="C2626" s="62"/>
      <c r="D2626" s="62"/>
      <c r="E2626" s="76">
        <f ca="1">IFERROR(__xludf.DUMMYFUNCTION("""COMPUTED_VALUE"""),0)</f>
        <v>0</v>
      </c>
      <c r="F2626" s="77"/>
      <c r="G2626" s="77"/>
    </row>
    <row r="2627" spans="1:7" ht="12.75" x14ac:dyDescent="0.2">
      <c r="A2627" s="62"/>
      <c r="B2627" s="62"/>
      <c r="C2627" s="62"/>
      <c r="D2627" s="62"/>
      <c r="E2627" s="76">
        <f ca="1">IFERROR(__xludf.DUMMYFUNCTION("""COMPUTED_VALUE"""),0)</f>
        <v>0</v>
      </c>
      <c r="F2627" s="77"/>
      <c r="G2627" s="77"/>
    </row>
    <row r="2628" spans="1:7" ht="12.75" x14ac:dyDescent="0.2">
      <c r="A2628" s="62"/>
      <c r="B2628" s="62"/>
      <c r="C2628" s="62"/>
      <c r="D2628" s="62"/>
      <c r="E2628" s="76">
        <f ca="1">IFERROR(__xludf.DUMMYFUNCTION("""COMPUTED_VALUE"""),0)</f>
        <v>0</v>
      </c>
      <c r="F2628" s="77"/>
      <c r="G2628" s="77"/>
    </row>
    <row r="2629" spans="1:7" ht="12.75" x14ac:dyDescent="0.2">
      <c r="A2629" s="62"/>
      <c r="B2629" s="62"/>
      <c r="C2629" s="62"/>
      <c r="D2629" s="62"/>
      <c r="E2629" s="76">
        <f ca="1">IFERROR(__xludf.DUMMYFUNCTION("""COMPUTED_VALUE"""),0)</f>
        <v>0</v>
      </c>
      <c r="F2629" s="77"/>
      <c r="G2629" s="77"/>
    </row>
    <row r="2630" spans="1:7" ht="12.75" x14ac:dyDescent="0.2">
      <c r="A2630" s="62"/>
      <c r="B2630" s="62"/>
      <c r="C2630" s="62"/>
      <c r="D2630" s="62"/>
      <c r="E2630" s="76">
        <f ca="1">IFERROR(__xludf.DUMMYFUNCTION("""COMPUTED_VALUE"""),0)</f>
        <v>0</v>
      </c>
      <c r="F2630" s="77"/>
      <c r="G2630" s="77"/>
    </row>
    <row r="2631" spans="1:7" ht="12.75" x14ac:dyDescent="0.2">
      <c r="A2631" s="62"/>
      <c r="B2631" s="62"/>
      <c r="C2631" s="62"/>
      <c r="D2631" s="62"/>
      <c r="E2631" s="76">
        <f ca="1">IFERROR(__xludf.DUMMYFUNCTION("""COMPUTED_VALUE"""),0)</f>
        <v>0</v>
      </c>
      <c r="F2631" s="77"/>
      <c r="G2631" s="77"/>
    </row>
    <row r="2632" spans="1:7" ht="12.75" x14ac:dyDescent="0.2">
      <c r="A2632" s="62"/>
      <c r="B2632" s="62"/>
      <c r="C2632" s="62"/>
      <c r="D2632" s="62"/>
      <c r="E2632" s="76">
        <f ca="1">IFERROR(__xludf.DUMMYFUNCTION("""COMPUTED_VALUE"""),0)</f>
        <v>0</v>
      </c>
      <c r="F2632" s="77"/>
      <c r="G2632" s="77"/>
    </row>
    <row r="2633" spans="1:7" ht="12.75" x14ac:dyDescent="0.2">
      <c r="A2633" s="62"/>
      <c r="B2633" s="62"/>
      <c r="C2633" s="62"/>
      <c r="D2633" s="62"/>
      <c r="E2633" s="76">
        <f ca="1">IFERROR(__xludf.DUMMYFUNCTION("""COMPUTED_VALUE"""),0)</f>
        <v>0</v>
      </c>
      <c r="F2633" s="77"/>
      <c r="G2633" s="77"/>
    </row>
    <row r="2634" spans="1:7" ht="12.75" x14ac:dyDescent="0.2">
      <c r="A2634" s="62"/>
      <c r="B2634" s="62"/>
      <c r="C2634" s="62"/>
      <c r="D2634" s="62"/>
      <c r="E2634" s="76">
        <f ca="1">IFERROR(__xludf.DUMMYFUNCTION("""COMPUTED_VALUE"""),0)</f>
        <v>0</v>
      </c>
      <c r="F2634" s="77"/>
      <c r="G2634" s="77"/>
    </row>
    <row r="2635" spans="1:7" ht="12.75" x14ac:dyDescent="0.2">
      <c r="A2635" s="62"/>
      <c r="B2635" s="62"/>
      <c r="C2635" s="62"/>
      <c r="D2635" s="62"/>
      <c r="E2635" s="76">
        <f ca="1">IFERROR(__xludf.DUMMYFUNCTION("""COMPUTED_VALUE"""),0)</f>
        <v>0</v>
      </c>
      <c r="F2635" s="77"/>
      <c r="G2635" s="77"/>
    </row>
    <row r="2636" spans="1:7" ht="12.75" x14ac:dyDescent="0.2">
      <c r="A2636" s="62"/>
      <c r="B2636" s="62"/>
      <c r="C2636" s="62"/>
      <c r="D2636" s="62"/>
      <c r="E2636" s="76">
        <f ca="1">IFERROR(__xludf.DUMMYFUNCTION("""COMPUTED_VALUE"""),0)</f>
        <v>0</v>
      </c>
      <c r="F2636" s="77"/>
      <c r="G2636" s="77"/>
    </row>
    <row r="2637" spans="1:7" ht="12.75" x14ac:dyDescent="0.2">
      <c r="A2637" s="62"/>
      <c r="B2637" s="62"/>
      <c r="C2637" s="62"/>
      <c r="D2637" s="62"/>
      <c r="E2637" s="76">
        <f ca="1">IFERROR(__xludf.DUMMYFUNCTION("""COMPUTED_VALUE"""),0)</f>
        <v>0</v>
      </c>
      <c r="F2637" s="77"/>
      <c r="G2637" s="77"/>
    </row>
    <row r="2638" spans="1:7" ht="12.75" x14ac:dyDescent="0.2">
      <c r="A2638" s="62"/>
      <c r="B2638" s="62"/>
      <c r="C2638" s="62"/>
      <c r="D2638" s="62"/>
      <c r="E2638" s="76">
        <f ca="1">IFERROR(__xludf.DUMMYFUNCTION("""COMPUTED_VALUE"""),0)</f>
        <v>0</v>
      </c>
      <c r="F2638" s="77"/>
      <c r="G2638" s="77"/>
    </row>
    <row r="2639" spans="1:7" ht="12.75" x14ac:dyDescent="0.2">
      <c r="A2639" s="62"/>
      <c r="B2639" s="62"/>
      <c r="C2639" s="62"/>
      <c r="D2639" s="62"/>
      <c r="E2639" s="76">
        <f ca="1">IFERROR(__xludf.DUMMYFUNCTION("""COMPUTED_VALUE"""),0)</f>
        <v>0</v>
      </c>
      <c r="F2639" s="77"/>
      <c r="G2639" s="77"/>
    </row>
    <row r="2640" spans="1:7" ht="12.75" x14ac:dyDescent="0.2">
      <c r="A2640" s="62"/>
      <c r="B2640" s="62"/>
      <c r="C2640" s="62"/>
      <c r="D2640" s="62"/>
      <c r="E2640" s="76">
        <f ca="1">IFERROR(__xludf.DUMMYFUNCTION("""COMPUTED_VALUE"""),0)</f>
        <v>0</v>
      </c>
      <c r="F2640" s="77"/>
      <c r="G2640" s="77"/>
    </row>
    <row r="2641" spans="1:7" ht="12.75" x14ac:dyDescent="0.2">
      <c r="A2641" s="62"/>
      <c r="B2641" s="62"/>
      <c r="C2641" s="62"/>
      <c r="D2641" s="62"/>
      <c r="E2641" s="76">
        <f ca="1">IFERROR(__xludf.DUMMYFUNCTION("""COMPUTED_VALUE"""),0)</f>
        <v>0</v>
      </c>
      <c r="F2641" s="77"/>
      <c r="G2641" s="77"/>
    </row>
    <row r="2642" spans="1:7" ht="12.75" x14ac:dyDescent="0.2">
      <c r="A2642" s="62"/>
      <c r="B2642" s="62"/>
      <c r="C2642" s="62"/>
      <c r="D2642" s="62"/>
      <c r="E2642" s="76">
        <f ca="1">IFERROR(__xludf.DUMMYFUNCTION("""COMPUTED_VALUE"""),0)</f>
        <v>0</v>
      </c>
      <c r="F2642" s="77"/>
      <c r="G2642" s="77"/>
    </row>
    <row r="2643" spans="1:7" ht="12.75" x14ac:dyDescent="0.2">
      <c r="A2643" s="62"/>
      <c r="B2643" s="62"/>
      <c r="C2643" s="62"/>
      <c r="D2643" s="62"/>
      <c r="E2643" s="76">
        <f ca="1">IFERROR(__xludf.DUMMYFUNCTION("""COMPUTED_VALUE"""),0)</f>
        <v>0</v>
      </c>
      <c r="F2643" s="77"/>
      <c r="G2643" s="77"/>
    </row>
    <row r="2644" spans="1:7" ht="12.75" x14ac:dyDescent="0.2">
      <c r="A2644" s="62"/>
      <c r="B2644" s="62"/>
      <c r="C2644" s="62"/>
      <c r="D2644" s="62"/>
      <c r="E2644" s="76">
        <f ca="1">IFERROR(__xludf.DUMMYFUNCTION("""COMPUTED_VALUE"""),0)</f>
        <v>0</v>
      </c>
      <c r="F2644" s="77"/>
      <c r="G2644" s="77"/>
    </row>
    <row r="2645" spans="1:7" ht="12.75" x14ac:dyDescent="0.2">
      <c r="A2645" s="62"/>
      <c r="B2645" s="62"/>
      <c r="C2645" s="62"/>
      <c r="D2645" s="62"/>
      <c r="E2645" s="76">
        <f ca="1">IFERROR(__xludf.DUMMYFUNCTION("""COMPUTED_VALUE"""),0)</f>
        <v>0</v>
      </c>
      <c r="F2645" s="77"/>
      <c r="G2645" s="77"/>
    </row>
    <row r="2646" spans="1:7" ht="12.75" x14ac:dyDescent="0.2">
      <c r="A2646" s="62"/>
      <c r="B2646" s="62"/>
      <c r="C2646" s="62"/>
      <c r="D2646" s="62"/>
      <c r="E2646" s="76">
        <f ca="1">IFERROR(__xludf.DUMMYFUNCTION("""COMPUTED_VALUE"""),0)</f>
        <v>0</v>
      </c>
      <c r="F2646" s="77"/>
      <c r="G2646" s="77"/>
    </row>
    <row r="2647" spans="1:7" ht="12.75" x14ac:dyDescent="0.2">
      <c r="A2647" s="62"/>
      <c r="B2647" s="62"/>
      <c r="C2647" s="62"/>
      <c r="D2647" s="62"/>
      <c r="E2647" s="76">
        <f ca="1">IFERROR(__xludf.DUMMYFUNCTION("""COMPUTED_VALUE"""),0)</f>
        <v>0</v>
      </c>
      <c r="F2647" s="77"/>
      <c r="G2647" s="77"/>
    </row>
    <row r="2648" spans="1:7" ht="12.75" x14ac:dyDescent="0.2">
      <c r="A2648" s="62"/>
      <c r="B2648" s="62"/>
      <c r="C2648" s="62"/>
      <c r="D2648" s="62"/>
      <c r="E2648" s="76">
        <f ca="1">IFERROR(__xludf.DUMMYFUNCTION("""COMPUTED_VALUE"""),0)</f>
        <v>0</v>
      </c>
      <c r="F2648" s="77"/>
      <c r="G2648" s="77"/>
    </row>
    <row r="2649" spans="1:7" ht="12.75" x14ac:dyDescent="0.2">
      <c r="A2649" s="62"/>
      <c r="B2649" s="62"/>
      <c r="C2649" s="62"/>
      <c r="D2649" s="62"/>
      <c r="E2649" s="76">
        <f ca="1">IFERROR(__xludf.DUMMYFUNCTION("""COMPUTED_VALUE"""),0)</f>
        <v>0</v>
      </c>
      <c r="F2649" s="77"/>
      <c r="G2649" s="77"/>
    </row>
    <row r="2650" spans="1:7" ht="12.75" x14ac:dyDescent="0.2">
      <c r="A2650" s="62"/>
      <c r="B2650" s="62"/>
      <c r="C2650" s="62"/>
      <c r="D2650" s="62"/>
      <c r="E2650" s="76">
        <f ca="1">IFERROR(__xludf.DUMMYFUNCTION("""COMPUTED_VALUE"""),0)</f>
        <v>0</v>
      </c>
      <c r="F2650" s="77"/>
      <c r="G2650" s="77"/>
    </row>
    <row r="2651" spans="1:7" ht="12.75" x14ac:dyDescent="0.2">
      <c r="A2651" s="62"/>
      <c r="B2651" s="62"/>
      <c r="C2651" s="62"/>
      <c r="D2651" s="62"/>
      <c r="E2651" s="76">
        <f ca="1">IFERROR(__xludf.DUMMYFUNCTION("""COMPUTED_VALUE"""),0)</f>
        <v>0</v>
      </c>
      <c r="F2651" s="77"/>
      <c r="G2651" s="77"/>
    </row>
    <row r="2652" spans="1:7" ht="12.75" x14ac:dyDescent="0.2">
      <c r="A2652" s="62"/>
      <c r="B2652" s="62"/>
      <c r="C2652" s="62"/>
      <c r="D2652" s="62"/>
      <c r="E2652" s="76">
        <f ca="1">IFERROR(__xludf.DUMMYFUNCTION("""COMPUTED_VALUE"""),0)</f>
        <v>0</v>
      </c>
      <c r="F2652" s="77"/>
      <c r="G2652" s="77"/>
    </row>
    <row r="2653" spans="1:7" ht="12.75" x14ac:dyDescent="0.2">
      <c r="A2653" s="62"/>
      <c r="B2653" s="62"/>
      <c r="C2653" s="62"/>
      <c r="D2653" s="62"/>
      <c r="E2653" s="76">
        <f ca="1">IFERROR(__xludf.DUMMYFUNCTION("""COMPUTED_VALUE"""),0)</f>
        <v>0</v>
      </c>
      <c r="F2653" s="77"/>
      <c r="G2653" s="77"/>
    </row>
    <row r="2654" spans="1:7" ht="12.75" x14ac:dyDescent="0.2">
      <c r="A2654" s="62"/>
      <c r="B2654" s="62"/>
      <c r="C2654" s="62"/>
      <c r="D2654" s="62"/>
      <c r="E2654" s="76">
        <f ca="1">IFERROR(__xludf.DUMMYFUNCTION("""COMPUTED_VALUE"""),0)</f>
        <v>0</v>
      </c>
      <c r="F2654" s="77"/>
      <c r="G2654" s="77"/>
    </row>
    <row r="2655" spans="1:7" ht="12.75" x14ac:dyDescent="0.2">
      <c r="A2655" s="62"/>
      <c r="B2655" s="62"/>
      <c r="C2655" s="62"/>
      <c r="D2655" s="62"/>
      <c r="E2655" s="76">
        <f ca="1">IFERROR(__xludf.DUMMYFUNCTION("""COMPUTED_VALUE"""),0)</f>
        <v>0</v>
      </c>
      <c r="F2655" s="77"/>
      <c r="G2655" s="77"/>
    </row>
    <row r="2656" spans="1:7" ht="12.75" x14ac:dyDescent="0.2">
      <c r="A2656" s="62"/>
      <c r="B2656" s="62"/>
      <c r="C2656" s="62"/>
      <c r="D2656" s="62"/>
      <c r="E2656" s="76">
        <f ca="1">IFERROR(__xludf.DUMMYFUNCTION("""COMPUTED_VALUE"""),0)</f>
        <v>0</v>
      </c>
      <c r="F2656" s="77"/>
      <c r="G2656" s="77"/>
    </row>
    <row r="2657" spans="1:7" ht="12.75" x14ac:dyDescent="0.2">
      <c r="A2657" s="62"/>
      <c r="B2657" s="62"/>
      <c r="C2657" s="62"/>
      <c r="D2657" s="62"/>
      <c r="E2657" s="76">
        <f ca="1">IFERROR(__xludf.DUMMYFUNCTION("""COMPUTED_VALUE"""),0)</f>
        <v>0</v>
      </c>
      <c r="F2657" s="77"/>
      <c r="G2657" s="77"/>
    </row>
    <row r="2658" spans="1:7" ht="12.75" x14ac:dyDescent="0.2">
      <c r="A2658" s="62"/>
      <c r="B2658" s="62"/>
      <c r="C2658" s="62"/>
      <c r="D2658" s="62"/>
      <c r="E2658" s="76">
        <f ca="1">IFERROR(__xludf.DUMMYFUNCTION("""COMPUTED_VALUE"""),0)</f>
        <v>0</v>
      </c>
      <c r="F2658" s="77"/>
      <c r="G2658" s="77"/>
    </row>
    <row r="2659" spans="1:7" ht="12.75" x14ac:dyDescent="0.2">
      <c r="A2659" s="62"/>
      <c r="B2659" s="62"/>
      <c r="C2659" s="62"/>
      <c r="D2659" s="62"/>
      <c r="E2659" s="76">
        <f ca="1">IFERROR(__xludf.DUMMYFUNCTION("""COMPUTED_VALUE"""),0)</f>
        <v>0</v>
      </c>
      <c r="F2659" s="77"/>
      <c r="G2659" s="77"/>
    </row>
    <row r="2660" spans="1:7" ht="12.75" x14ac:dyDescent="0.2">
      <c r="A2660" s="62"/>
      <c r="B2660" s="62"/>
      <c r="C2660" s="62"/>
      <c r="D2660" s="62"/>
      <c r="E2660" s="76">
        <f ca="1">IFERROR(__xludf.DUMMYFUNCTION("""COMPUTED_VALUE"""),0)</f>
        <v>0</v>
      </c>
      <c r="F2660" s="77"/>
      <c r="G2660" s="77"/>
    </row>
    <row r="2661" spans="1:7" ht="12.75" x14ac:dyDescent="0.2">
      <c r="A2661" s="62"/>
      <c r="B2661" s="62"/>
      <c r="C2661" s="62"/>
      <c r="D2661" s="62"/>
      <c r="E2661" s="76">
        <f ca="1">IFERROR(__xludf.DUMMYFUNCTION("""COMPUTED_VALUE"""),0)</f>
        <v>0</v>
      </c>
      <c r="F2661" s="77"/>
      <c r="G2661" s="77"/>
    </row>
    <row r="2662" spans="1:7" ht="12.75" x14ac:dyDescent="0.2">
      <c r="A2662" s="62"/>
      <c r="B2662" s="62"/>
      <c r="C2662" s="62"/>
      <c r="D2662" s="62"/>
      <c r="E2662" s="76">
        <f ca="1">IFERROR(__xludf.DUMMYFUNCTION("""COMPUTED_VALUE"""),0)</f>
        <v>0</v>
      </c>
      <c r="F2662" s="77"/>
      <c r="G2662" s="77"/>
    </row>
    <row r="2663" spans="1:7" ht="12.75" x14ac:dyDescent="0.2">
      <c r="A2663" s="62"/>
      <c r="B2663" s="62"/>
      <c r="C2663" s="62"/>
      <c r="D2663" s="62"/>
      <c r="E2663" s="76">
        <f ca="1">IFERROR(__xludf.DUMMYFUNCTION("""COMPUTED_VALUE"""),0)</f>
        <v>0</v>
      </c>
      <c r="F2663" s="77"/>
      <c r="G2663" s="77"/>
    </row>
    <row r="2664" spans="1:7" ht="12.75" x14ac:dyDescent="0.2">
      <c r="A2664" s="62"/>
      <c r="B2664" s="62"/>
      <c r="C2664" s="62"/>
      <c r="D2664" s="62"/>
      <c r="E2664" s="76">
        <f ca="1">IFERROR(__xludf.DUMMYFUNCTION("""COMPUTED_VALUE"""),0)</f>
        <v>0</v>
      </c>
      <c r="F2664" s="77"/>
      <c r="G2664" s="77"/>
    </row>
    <row r="2665" spans="1:7" ht="12.75" x14ac:dyDescent="0.2">
      <c r="A2665" s="62"/>
      <c r="B2665" s="62"/>
      <c r="C2665" s="62"/>
      <c r="D2665" s="62"/>
      <c r="E2665" s="76">
        <f ca="1">IFERROR(__xludf.DUMMYFUNCTION("""COMPUTED_VALUE"""),0)</f>
        <v>0</v>
      </c>
      <c r="F2665" s="77"/>
      <c r="G2665" s="77"/>
    </row>
    <row r="2666" spans="1:7" ht="12.75" x14ac:dyDescent="0.2">
      <c r="A2666" s="62"/>
      <c r="B2666" s="62"/>
      <c r="C2666" s="62"/>
      <c r="D2666" s="62"/>
      <c r="E2666" s="76">
        <f ca="1">IFERROR(__xludf.DUMMYFUNCTION("""COMPUTED_VALUE"""),0)</f>
        <v>0</v>
      </c>
      <c r="F2666" s="77"/>
      <c r="G2666" s="77"/>
    </row>
    <row r="2667" spans="1:7" ht="12.75" x14ac:dyDescent="0.2">
      <c r="A2667" s="62"/>
      <c r="B2667" s="62"/>
      <c r="C2667" s="62"/>
      <c r="D2667" s="62"/>
      <c r="E2667" s="76">
        <f ca="1">IFERROR(__xludf.DUMMYFUNCTION("""COMPUTED_VALUE"""),0)</f>
        <v>0</v>
      </c>
      <c r="F2667" s="77"/>
      <c r="G2667" s="77"/>
    </row>
    <row r="2668" spans="1:7" ht="12.75" x14ac:dyDescent="0.2">
      <c r="A2668" s="62"/>
      <c r="B2668" s="62"/>
      <c r="C2668" s="62"/>
      <c r="D2668" s="62"/>
      <c r="E2668" s="76">
        <f ca="1">IFERROR(__xludf.DUMMYFUNCTION("""COMPUTED_VALUE"""),0)</f>
        <v>0</v>
      </c>
      <c r="F2668" s="77"/>
      <c r="G2668" s="77"/>
    </row>
    <row r="2669" spans="1:7" ht="12.75" x14ac:dyDescent="0.2">
      <c r="A2669" s="62"/>
      <c r="B2669" s="62"/>
      <c r="C2669" s="62"/>
      <c r="D2669" s="62"/>
      <c r="E2669" s="76">
        <f ca="1">IFERROR(__xludf.DUMMYFUNCTION("""COMPUTED_VALUE"""),0)</f>
        <v>0</v>
      </c>
      <c r="F2669" s="77"/>
      <c r="G2669" s="77"/>
    </row>
    <row r="2670" spans="1:7" ht="12.75" x14ac:dyDescent="0.2">
      <c r="A2670" s="62"/>
      <c r="B2670" s="62"/>
      <c r="C2670" s="62"/>
      <c r="D2670" s="62"/>
      <c r="E2670" s="76">
        <f ca="1">IFERROR(__xludf.DUMMYFUNCTION("""COMPUTED_VALUE"""),0)</f>
        <v>0</v>
      </c>
      <c r="F2670" s="77"/>
      <c r="G2670" s="77"/>
    </row>
    <row r="2671" spans="1:7" ht="12.75" x14ac:dyDescent="0.2">
      <c r="A2671" s="62"/>
      <c r="B2671" s="62"/>
      <c r="C2671" s="62"/>
      <c r="D2671" s="62"/>
      <c r="E2671" s="76">
        <f ca="1">IFERROR(__xludf.DUMMYFUNCTION("""COMPUTED_VALUE"""),0)</f>
        <v>0</v>
      </c>
      <c r="F2671" s="77"/>
      <c r="G2671" s="77"/>
    </row>
    <row r="2672" spans="1:7" ht="12.75" x14ac:dyDescent="0.2">
      <c r="A2672" s="62"/>
      <c r="B2672" s="62"/>
      <c r="C2672" s="62"/>
      <c r="D2672" s="62"/>
      <c r="E2672" s="76">
        <f ca="1">IFERROR(__xludf.DUMMYFUNCTION("""COMPUTED_VALUE"""),0)</f>
        <v>0</v>
      </c>
      <c r="F2672" s="77"/>
      <c r="G2672" s="77"/>
    </row>
    <row r="2673" spans="1:7" ht="12.75" x14ac:dyDescent="0.2">
      <c r="A2673" s="62">
        <f ca="1">IFERROR(__xludf.DUMMYFUNCTION("""COMPUTED_VALUE"""),10010535)</f>
        <v>10010535</v>
      </c>
      <c r="B2673" s="62" t="str">
        <f ca="1">IFERROR(__xludf.DUMMYFUNCTION("""COMPUTED_VALUE"""),"Pantalla Samsung S23 con marco Original")</f>
        <v>Pantalla Samsung S23 con marco Original</v>
      </c>
      <c r="C2673" s="75">
        <f ca="1">IFERROR(__xludf.DUMMYFUNCTION("""COMPUTED_VALUE"""),1190)</f>
        <v>1190</v>
      </c>
      <c r="D2673" s="75">
        <f ca="1">IFERROR(__xludf.DUMMYFUNCTION("""COMPUTED_VALUE"""),200)</f>
        <v>200</v>
      </c>
      <c r="E2673" s="76">
        <f ca="1">IFERROR(__xludf.DUMMYFUNCTION("""COMPUTED_VALUE"""),1390)</f>
        <v>1390</v>
      </c>
      <c r="F2673" s="77">
        <f ca="1">IFERROR(__xludf.DUMMYFUNCTION("""COMPUTED_VALUE"""),10010535)</f>
        <v>10010535</v>
      </c>
      <c r="G2673" s="77"/>
    </row>
    <row r="2674" spans="1:7" ht="12.75" x14ac:dyDescent="0.2">
      <c r="A2674" s="62">
        <f ca="1">IFERROR(__xludf.DUMMYFUNCTION("""COMPUTED_VALUE"""),10010536)</f>
        <v>10010536</v>
      </c>
      <c r="B2674" s="62" t="str">
        <f ca="1">IFERROR(__xludf.DUMMYFUNCTION("""COMPUTED_VALUE"""),"Pantalla Samsung S23 Ultra con marco Original")</f>
        <v>Pantalla Samsung S23 Ultra con marco Original</v>
      </c>
      <c r="C2674" s="75">
        <f ca="1">IFERROR(__xludf.DUMMYFUNCTION("""COMPUTED_VALUE"""),1690)</f>
        <v>1690</v>
      </c>
      <c r="D2674" s="75">
        <f ca="1">IFERROR(__xludf.DUMMYFUNCTION("""COMPUTED_VALUE"""),200)</f>
        <v>200</v>
      </c>
      <c r="E2674" s="76">
        <f ca="1">IFERROR(__xludf.DUMMYFUNCTION("""COMPUTED_VALUE"""),1890)</f>
        <v>1890</v>
      </c>
      <c r="F2674" s="77">
        <f ca="1">IFERROR(__xludf.DUMMYFUNCTION("""COMPUTED_VALUE"""),10010536)</f>
        <v>10010536</v>
      </c>
      <c r="G2674" s="77"/>
    </row>
    <row r="2675" spans="1:7" ht="12.75" x14ac:dyDescent="0.2">
      <c r="A2675" s="62"/>
      <c r="B2675" s="62"/>
      <c r="C2675" s="62"/>
      <c r="D2675" s="62"/>
      <c r="E2675" s="76">
        <f ca="1">IFERROR(__xludf.DUMMYFUNCTION("""COMPUTED_VALUE"""),0)</f>
        <v>0</v>
      </c>
      <c r="F2675" s="77"/>
      <c r="G2675" s="77"/>
    </row>
    <row r="2676" spans="1:7" ht="12.75" x14ac:dyDescent="0.2">
      <c r="A2676" s="62"/>
      <c r="B2676" s="62"/>
      <c r="C2676" s="62"/>
      <c r="D2676" s="62"/>
      <c r="E2676" s="76">
        <f ca="1">IFERROR(__xludf.DUMMYFUNCTION("""COMPUTED_VALUE"""),0)</f>
        <v>0</v>
      </c>
      <c r="F2676" s="77"/>
      <c r="G2676" s="77"/>
    </row>
    <row r="2677" spans="1:7" ht="12.75" x14ac:dyDescent="0.2">
      <c r="A2677" s="62"/>
      <c r="B2677" s="62"/>
      <c r="C2677" s="62"/>
      <c r="D2677" s="62"/>
      <c r="E2677" s="76">
        <f ca="1">IFERROR(__xludf.DUMMYFUNCTION("""COMPUTED_VALUE"""),0)</f>
        <v>0</v>
      </c>
      <c r="F2677" s="77"/>
      <c r="G2677" s="77"/>
    </row>
    <row r="2678" spans="1:7" ht="12.75" x14ac:dyDescent="0.2">
      <c r="A2678" s="62"/>
      <c r="B2678" s="62"/>
      <c r="C2678" s="62"/>
      <c r="D2678" s="62"/>
      <c r="E2678" s="76">
        <f ca="1">IFERROR(__xludf.DUMMYFUNCTION("""COMPUTED_VALUE"""),0)</f>
        <v>0</v>
      </c>
      <c r="F2678" s="77"/>
      <c r="G2678" s="77"/>
    </row>
    <row r="2679" spans="1:7" ht="12.75" x14ac:dyDescent="0.2">
      <c r="A2679" s="62"/>
      <c r="B2679" s="62"/>
      <c r="C2679" s="62"/>
      <c r="D2679" s="62"/>
      <c r="E2679" s="76">
        <f ca="1">IFERROR(__xludf.DUMMYFUNCTION("""COMPUTED_VALUE"""),0)</f>
        <v>0</v>
      </c>
      <c r="F2679" s="77"/>
      <c r="G2679" s="77"/>
    </row>
    <row r="2680" spans="1:7" ht="12.75" x14ac:dyDescent="0.2">
      <c r="A2680" s="62"/>
      <c r="B2680" s="62"/>
      <c r="C2680" s="62"/>
      <c r="D2680" s="62"/>
      <c r="E2680" s="76">
        <f ca="1">IFERROR(__xludf.DUMMYFUNCTION("""COMPUTED_VALUE"""),0)</f>
        <v>0</v>
      </c>
      <c r="F2680" s="77"/>
      <c r="G2680" s="77"/>
    </row>
    <row r="2681" spans="1:7" ht="12.75" x14ac:dyDescent="0.2">
      <c r="A2681" s="62"/>
      <c r="B2681" s="62"/>
      <c r="C2681" s="62"/>
      <c r="D2681" s="62"/>
      <c r="E2681" s="76">
        <f ca="1">IFERROR(__xludf.DUMMYFUNCTION("""COMPUTED_VALUE"""),0)</f>
        <v>0</v>
      </c>
      <c r="F2681" s="77"/>
      <c r="G2681" s="77"/>
    </row>
    <row r="2682" spans="1:7" ht="12.75" x14ac:dyDescent="0.2">
      <c r="A2682" s="62"/>
      <c r="B2682" s="62"/>
      <c r="C2682" s="62"/>
      <c r="D2682" s="62"/>
      <c r="E2682" s="76">
        <f ca="1">IFERROR(__xludf.DUMMYFUNCTION("""COMPUTED_VALUE"""),0)</f>
        <v>0</v>
      </c>
      <c r="F2682" s="77"/>
      <c r="G2682" s="77"/>
    </row>
    <row r="2683" spans="1:7" ht="12.75" x14ac:dyDescent="0.2">
      <c r="A2683" s="62"/>
      <c r="B2683" s="62"/>
      <c r="C2683" s="62"/>
      <c r="D2683" s="62"/>
      <c r="E2683" s="76">
        <f ca="1">IFERROR(__xludf.DUMMYFUNCTION("""COMPUTED_VALUE"""),0)</f>
        <v>0</v>
      </c>
      <c r="F2683" s="77"/>
      <c r="G2683" s="77"/>
    </row>
    <row r="2684" spans="1:7" ht="12.75" x14ac:dyDescent="0.2">
      <c r="A2684" s="62"/>
      <c r="B2684" s="62"/>
      <c r="C2684" s="62"/>
      <c r="D2684" s="62"/>
      <c r="E2684" s="76">
        <f ca="1">IFERROR(__xludf.DUMMYFUNCTION("""COMPUTED_VALUE"""),0)</f>
        <v>0</v>
      </c>
      <c r="F2684" s="77"/>
      <c r="G2684" s="77"/>
    </row>
    <row r="2685" spans="1:7" ht="12.75" x14ac:dyDescent="0.2">
      <c r="A2685" s="62"/>
      <c r="B2685" s="62"/>
      <c r="C2685" s="62"/>
      <c r="D2685" s="62"/>
      <c r="E2685" s="76">
        <f ca="1">IFERROR(__xludf.DUMMYFUNCTION("""COMPUTED_VALUE"""),0)</f>
        <v>0</v>
      </c>
      <c r="F2685" s="77"/>
      <c r="G2685" s="77"/>
    </row>
    <row r="2686" spans="1:7" ht="12.75" x14ac:dyDescent="0.2">
      <c r="A2686" s="62"/>
      <c r="B2686" s="62"/>
      <c r="C2686" s="62"/>
      <c r="D2686" s="62"/>
      <c r="E2686" s="76">
        <f ca="1">IFERROR(__xludf.DUMMYFUNCTION("""COMPUTED_VALUE"""),0)</f>
        <v>0</v>
      </c>
      <c r="F2686" s="77"/>
      <c r="G2686" s="77"/>
    </row>
    <row r="2687" spans="1:7" ht="12.75" x14ac:dyDescent="0.2">
      <c r="A2687" s="62"/>
      <c r="B2687" s="62"/>
      <c r="C2687" s="62"/>
      <c r="D2687" s="62"/>
      <c r="E2687" s="76">
        <f ca="1">IFERROR(__xludf.DUMMYFUNCTION("""COMPUTED_VALUE"""),0)</f>
        <v>0</v>
      </c>
      <c r="F2687" s="77"/>
      <c r="G2687" s="77"/>
    </row>
    <row r="2688" spans="1:7" ht="12.75" x14ac:dyDescent="0.2">
      <c r="A2688" s="62"/>
      <c r="B2688" s="62"/>
      <c r="C2688" s="62"/>
      <c r="D2688" s="62"/>
      <c r="E2688" s="76">
        <f ca="1">IFERROR(__xludf.DUMMYFUNCTION("""COMPUTED_VALUE"""),0)</f>
        <v>0</v>
      </c>
      <c r="F2688" s="77"/>
      <c r="G2688" s="77"/>
    </row>
    <row r="2689" spans="1:7" ht="12.75" x14ac:dyDescent="0.2">
      <c r="A2689" s="62"/>
      <c r="B2689" s="62"/>
      <c r="C2689" s="62"/>
      <c r="D2689" s="62"/>
      <c r="E2689" s="76">
        <f ca="1">IFERROR(__xludf.DUMMYFUNCTION("""COMPUTED_VALUE"""),0)</f>
        <v>0</v>
      </c>
      <c r="F2689" s="77"/>
      <c r="G2689" s="77"/>
    </row>
    <row r="2690" spans="1:7" ht="12.75" x14ac:dyDescent="0.2">
      <c r="A2690" s="62"/>
      <c r="B2690" s="62"/>
      <c r="C2690" s="62"/>
      <c r="D2690" s="62"/>
      <c r="E2690" s="76">
        <f ca="1">IFERROR(__xludf.DUMMYFUNCTION("""COMPUTED_VALUE"""),0)</f>
        <v>0</v>
      </c>
      <c r="F2690" s="77"/>
      <c r="G2690" s="77"/>
    </row>
    <row r="2691" spans="1:7" ht="12.75" x14ac:dyDescent="0.2">
      <c r="A2691" s="62"/>
      <c r="B2691" s="62"/>
      <c r="C2691" s="62"/>
      <c r="D2691" s="62"/>
      <c r="E2691" s="76">
        <f ca="1">IFERROR(__xludf.DUMMYFUNCTION("""COMPUTED_VALUE"""),0)</f>
        <v>0</v>
      </c>
      <c r="F2691" s="77"/>
      <c r="G2691" s="77"/>
    </row>
    <row r="2692" spans="1:7" ht="12.75" x14ac:dyDescent="0.2">
      <c r="A2692" s="62"/>
      <c r="B2692" s="62"/>
      <c r="C2692" s="62"/>
      <c r="D2692" s="62"/>
      <c r="E2692" s="76">
        <f ca="1">IFERROR(__xludf.DUMMYFUNCTION("""COMPUTED_VALUE"""),0)</f>
        <v>0</v>
      </c>
      <c r="F2692" s="77"/>
      <c r="G2692" s="77"/>
    </row>
    <row r="2693" spans="1:7" ht="12.75" x14ac:dyDescent="0.2">
      <c r="A2693" s="62"/>
      <c r="B2693" s="62"/>
      <c r="C2693" s="62"/>
      <c r="D2693" s="62"/>
      <c r="E2693" s="76">
        <f ca="1">IFERROR(__xludf.DUMMYFUNCTION("""COMPUTED_VALUE"""),0)</f>
        <v>0</v>
      </c>
      <c r="F2693" s="77"/>
      <c r="G2693" s="77"/>
    </row>
    <row r="2694" spans="1:7" ht="12.75" x14ac:dyDescent="0.2">
      <c r="A2694" s="62"/>
      <c r="B2694" s="62"/>
      <c r="C2694" s="62"/>
      <c r="D2694" s="62"/>
      <c r="E2694" s="76">
        <f ca="1">IFERROR(__xludf.DUMMYFUNCTION("""COMPUTED_VALUE"""),0)</f>
        <v>0</v>
      </c>
      <c r="F2694" s="77"/>
      <c r="G2694" s="77"/>
    </row>
    <row r="2695" spans="1:7" ht="12.75" x14ac:dyDescent="0.2">
      <c r="A2695" s="62"/>
      <c r="B2695" s="62"/>
      <c r="C2695" s="62"/>
      <c r="D2695" s="62"/>
      <c r="E2695" s="76">
        <f ca="1">IFERROR(__xludf.DUMMYFUNCTION("""COMPUTED_VALUE"""),0)</f>
        <v>0</v>
      </c>
      <c r="F2695" s="77"/>
      <c r="G2695" s="77"/>
    </row>
    <row r="2696" spans="1:7" ht="12.75" x14ac:dyDescent="0.2">
      <c r="A2696" s="62"/>
      <c r="B2696" s="62"/>
      <c r="C2696" s="62"/>
      <c r="D2696" s="62"/>
      <c r="E2696" s="76">
        <f ca="1">IFERROR(__xludf.DUMMYFUNCTION("""COMPUTED_VALUE"""),0)</f>
        <v>0</v>
      </c>
      <c r="F2696" s="77"/>
      <c r="G2696" s="77"/>
    </row>
    <row r="2697" spans="1:7" ht="12.75" x14ac:dyDescent="0.2">
      <c r="A2697" s="62"/>
      <c r="B2697" s="62"/>
      <c r="C2697" s="62"/>
      <c r="D2697" s="62"/>
      <c r="E2697" s="76">
        <f ca="1">IFERROR(__xludf.DUMMYFUNCTION("""COMPUTED_VALUE"""),0)</f>
        <v>0</v>
      </c>
      <c r="F2697" s="77"/>
      <c r="G2697" s="77"/>
    </row>
    <row r="2698" spans="1:7" ht="12.75" x14ac:dyDescent="0.2">
      <c r="A2698" s="62"/>
      <c r="B2698" s="62"/>
      <c r="C2698" s="62"/>
      <c r="D2698" s="62"/>
      <c r="E2698" s="76">
        <f ca="1">IFERROR(__xludf.DUMMYFUNCTION("""COMPUTED_VALUE"""),0)</f>
        <v>0</v>
      </c>
      <c r="F2698" s="77"/>
      <c r="G2698" s="77"/>
    </row>
    <row r="2699" spans="1:7" ht="12.75" x14ac:dyDescent="0.2">
      <c r="A2699" s="62"/>
      <c r="B2699" s="62"/>
      <c r="C2699" s="62"/>
      <c r="D2699" s="62"/>
      <c r="E2699" s="76">
        <f ca="1">IFERROR(__xludf.DUMMYFUNCTION("""COMPUTED_VALUE"""),0)</f>
        <v>0</v>
      </c>
      <c r="F2699" s="77"/>
      <c r="G2699" s="77"/>
    </row>
    <row r="2700" spans="1:7" ht="12.75" x14ac:dyDescent="0.2">
      <c r="A2700" s="62"/>
      <c r="B2700" s="62"/>
      <c r="C2700" s="62"/>
      <c r="D2700" s="62"/>
      <c r="E2700" s="76">
        <f ca="1">IFERROR(__xludf.DUMMYFUNCTION("""COMPUTED_VALUE"""),0)</f>
        <v>0</v>
      </c>
      <c r="F2700" s="77"/>
      <c r="G2700" s="77"/>
    </row>
    <row r="2701" spans="1:7" ht="12.75" x14ac:dyDescent="0.2">
      <c r="A2701" s="62"/>
      <c r="B2701" s="62"/>
      <c r="C2701" s="62"/>
      <c r="D2701" s="62"/>
      <c r="E2701" s="76">
        <f ca="1">IFERROR(__xludf.DUMMYFUNCTION("""COMPUTED_VALUE"""),0)</f>
        <v>0</v>
      </c>
      <c r="F2701" s="77"/>
      <c r="G2701" s="77"/>
    </row>
    <row r="2702" spans="1:7" ht="12.75" x14ac:dyDescent="0.2">
      <c r="A2702" s="62"/>
      <c r="B2702" s="62"/>
      <c r="C2702" s="62"/>
      <c r="D2702" s="62"/>
      <c r="E2702" s="76">
        <f ca="1">IFERROR(__xludf.DUMMYFUNCTION("""COMPUTED_VALUE"""),0)</f>
        <v>0</v>
      </c>
      <c r="F2702" s="77"/>
      <c r="G2702" s="77"/>
    </row>
    <row r="2703" spans="1:7" ht="12.75" x14ac:dyDescent="0.2">
      <c r="A2703" s="62"/>
      <c r="B2703" s="62"/>
      <c r="C2703" s="62"/>
      <c r="D2703" s="62"/>
      <c r="E2703" s="76">
        <f ca="1">IFERROR(__xludf.DUMMYFUNCTION("""COMPUTED_VALUE"""),0)</f>
        <v>0</v>
      </c>
      <c r="F2703" s="77"/>
      <c r="G2703" s="77"/>
    </row>
    <row r="2704" spans="1:7" ht="12.75" x14ac:dyDescent="0.2">
      <c r="A2704" s="62"/>
      <c r="B2704" s="62"/>
      <c r="C2704" s="62"/>
      <c r="D2704" s="62"/>
      <c r="E2704" s="76">
        <f ca="1">IFERROR(__xludf.DUMMYFUNCTION("""COMPUTED_VALUE"""),0)</f>
        <v>0</v>
      </c>
      <c r="F2704" s="77"/>
      <c r="G2704" s="77"/>
    </row>
    <row r="2705" spans="1:7" ht="12.75" x14ac:dyDescent="0.2">
      <c r="A2705" s="62"/>
      <c r="B2705" s="62"/>
      <c r="C2705" s="62"/>
      <c r="D2705" s="62"/>
      <c r="E2705" s="76">
        <f ca="1">IFERROR(__xludf.DUMMYFUNCTION("""COMPUTED_VALUE"""),0)</f>
        <v>0</v>
      </c>
      <c r="F2705" s="77"/>
      <c r="G2705" s="77"/>
    </row>
    <row r="2706" spans="1:7" ht="12.75" x14ac:dyDescent="0.2">
      <c r="A2706" s="62"/>
      <c r="B2706" s="62"/>
      <c r="C2706" s="62"/>
      <c r="D2706" s="62"/>
      <c r="E2706" s="76">
        <f ca="1">IFERROR(__xludf.DUMMYFUNCTION("""COMPUTED_VALUE"""),0)</f>
        <v>0</v>
      </c>
      <c r="F2706" s="77"/>
      <c r="G2706" s="77"/>
    </row>
    <row r="2707" spans="1:7" ht="12.75" x14ac:dyDescent="0.2">
      <c r="A2707" s="62">
        <f ca="1">IFERROR(__xludf.DUMMYFUNCTION("""COMPUTED_VALUE"""),10010537)</f>
        <v>10010537</v>
      </c>
      <c r="B2707" s="62" t="str">
        <f ca="1">IFERROR(__xludf.DUMMYFUNCTION("""COMPUTED_VALUE"""),"Galaxy Zfold 2 - pantalla externa")</f>
        <v>Galaxy Zfold 2 - pantalla externa</v>
      </c>
      <c r="C2707" s="75">
        <f ca="1">IFERROR(__xludf.DUMMYFUNCTION("""COMPUTED_VALUE"""),1100)</f>
        <v>1100</v>
      </c>
      <c r="D2707" s="75">
        <f ca="1">IFERROR(__xludf.DUMMYFUNCTION("""COMPUTED_VALUE"""),200)</f>
        <v>200</v>
      </c>
      <c r="E2707" s="76">
        <f ca="1">IFERROR(__xludf.DUMMYFUNCTION("""COMPUTED_VALUE"""),1300)</f>
        <v>1300</v>
      </c>
      <c r="F2707" s="77">
        <f ca="1">IFERROR(__xludf.DUMMYFUNCTION("""COMPUTED_VALUE"""),10010537)</f>
        <v>10010537</v>
      </c>
      <c r="G2707" s="77"/>
    </row>
    <row r="2708" spans="1:7" ht="12.75" x14ac:dyDescent="0.2">
      <c r="A2708" s="62">
        <f ca="1">IFERROR(__xludf.DUMMYFUNCTION("""COMPUTED_VALUE"""),10160339)</f>
        <v>10160339</v>
      </c>
      <c r="B2708" s="62" t="str">
        <f ca="1">IFERROR(__xludf.DUMMYFUNCTION("""COMPUTED_VALUE"""),"Puerto de Carga  Samsugn A52 5g")</f>
        <v>Puerto de Carga  Samsugn A52 5g</v>
      </c>
      <c r="C2708" s="75">
        <f ca="1">IFERROR(__xludf.DUMMYFUNCTION("""COMPUTED_VALUE"""),140)</f>
        <v>140</v>
      </c>
      <c r="D2708" s="75">
        <f ca="1">IFERROR(__xludf.DUMMYFUNCTION("""COMPUTED_VALUE"""),50)</f>
        <v>50</v>
      </c>
      <c r="E2708" s="76">
        <f ca="1">IFERROR(__xludf.DUMMYFUNCTION("""COMPUTED_VALUE"""),190)</f>
        <v>190</v>
      </c>
      <c r="F2708" s="77">
        <f ca="1">IFERROR(__xludf.DUMMYFUNCTION("""COMPUTED_VALUE"""),10160339)</f>
        <v>10160339</v>
      </c>
      <c r="G2708" s="77"/>
    </row>
    <row r="2709" spans="1:7" ht="12.75" x14ac:dyDescent="0.2">
      <c r="A2709" s="62">
        <f ca="1">IFERROR(__xludf.DUMMYFUNCTION("""COMPUTED_VALUE"""),10160340)</f>
        <v>10160340</v>
      </c>
      <c r="B2709" s="62" t="str">
        <f ca="1">IFERROR(__xludf.DUMMYFUNCTION("""COMPUTED_VALUE"""),"Puerto de Carga Samsung S22 Ultra")</f>
        <v>Puerto de Carga Samsung S22 Ultra</v>
      </c>
      <c r="C2709" s="75">
        <f ca="1">IFERROR(__xludf.DUMMYFUNCTION("""COMPUTED_VALUE"""),280)</f>
        <v>280</v>
      </c>
      <c r="D2709" s="75">
        <f ca="1">IFERROR(__xludf.DUMMYFUNCTION("""COMPUTED_VALUE"""),100)</f>
        <v>100</v>
      </c>
      <c r="E2709" s="76">
        <f ca="1">IFERROR(__xludf.DUMMYFUNCTION("""COMPUTED_VALUE"""),380)</f>
        <v>380</v>
      </c>
      <c r="F2709" s="77">
        <f ca="1">IFERROR(__xludf.DUMMYFUNCTION("""COMPUTED_VALUE"""),10160340)</f>
        <v>10160340</v>
      </c>
      <c r="G2709" s="77"/>
    </row>
    <row r="2710" spans="1:7" ht="12.75" x14ac:dyDescent="0.2">
      <c r="A2710" s="62">
        <f ca="1">IFERROR(__xludf.DUMMYFUNCTION("""COMPUTED_VALUE"""),10160341)</f>
        <v>10160341</v>
      </c>
      <c r="B2710" s="62" t="str">
        <f ca="1">IFERROR(__xludf.DUMMYFUNCTION("""COMPUTED_VALUE"""),"Flex de Señal Wifi Samsung S21")</f>
        <v>Flex de Señal Wifi Samsung S21</v>
      </c>
      <c r="C2710" s="75">
        <f ca="1">IFERROR(__xludf.DUMMYFUNCTION("""COMPUTED_VALUE"""),190)</f>
        <v>190</v>
      </c>
      <c r="D2710" s="75">
        <f ca="1">IFERROR(__xludf.DUMMYFUNCTION("""COMPUTED_VALUE"""),100)</f>
        <v>100</v>
      </c>
      <c r="E2710" s="76">
        <f ca="1">IFERROR(__xludf.DUMMYFUNCTION("""COMPUTED_VALUE"""),290)</f>
        <v>290</v>
      </c>
      <c r="F2710" s="77">
        <f ca="1">IFERROR(__xludf.DUMMYFUNCTION("""COMPUTED_VALUE"""),10160341)</f>
        <v>10160341</v>
      </c>
      <c r="G2710" s="77"/>
    </row>
    <row r="2711" spans="1:7" ht="12.75" x14ac:dyDescent="0.2">
      <c r="A2711" s="62">
        <f ca="1">IFERROR(__xludf.DUMMYFUNCTION("""COMPUTED_VALUE"""),10160342)</f>
        <v>10160342</v>
      </c>
      <c r="B2711" s="62" t="str">
        <f ca="1">IFERROR(__xludf.DUMMYFUNCTION("""COMPUTED_VALUE"""),"Flex de Señal Wifi Samsung S21 ultra")</f>
        <v>Flex de Señal Wifi Samsung S21 ultra</v>
      </c>
      <c r="C2711" s="75">
        <f ca="1">IFERROR(__xludf.DUMMYFUNCTION("""COMPUTED_VALUE"""),190)</f>
        <v>190</v>
      </c>
      <c r="D2711" s="75">
        <f ca="1">IFERROR(__xludf.DUMMYFUNCTION("""COMPUTED_VALUE"""),100)</f>
        <v>100</v>
      </c>
      <c r="E2711" s="76">
        <f ca="1">IFERROR(__xludf.DUMMYFUNCTION("""COMPUTED_VALUE"""),290)</f>
        <v>290</v>
      </c>
      <c r="F2711" s="77">
        <f ca="1">IFERROR(__xludf.DUMMYFUNCTION("""COMPUTED_VALUE"""),10160342)</f>
        <v>10160342</v>
      </c>
      <c r="G2711" s="77"/>
    </row>
    <row r="2712" spans="1:7" ht="12.75" x14ac:dyDescent="0.2">
      <c r="A2712" s="62">
        <f ca="1">IFERROR(__xludf.DUMMYFUNCTION("""COMPUTED_VALUE"""),10160343)</f>
        <v>10160343</v>
      </c>
      <c r="B2712" s="62" t="str">
        <f ca="1">IFERROR(__xludf.DUMMYFUNCTION("""COMPUTED_VALUE"""),"Flex de Señal Wifi Samsung S21 plus")</f>
        <v>Flex de Señal Wifi Samsung S21 plus</v>
      </c>
      <c r="C2712" s="75">
        <f ca="1">IFERROR(__xludf.DUMMYFUNCTION("""COMPUTED_VALUE"""),190)</f>
        <v>190</v>
      </c>
      <c r="D2712" s="75">
        <f ca="1">IFERROR(__xludf.DUMMYFUNCTION("""COMPUTED_VALUE"""),100)</f>
        <v>100</v>
      </c>
      <c r="E2712" s="76">
        <f ca="1">IFERROR(__xludf.DUMMYFUNCTION("""COMPUTED_VALUE"""),290)</f>
        <v>290</v>
      </c>
      <c r="F2712" s="77">
        <f ca="1">IFERROR(__xludf.DUMMYFUNCTION("""COMPUTED_VALUE"""),10160343)</f>
        <v>10160343</v>
      </c>
      <c r="G2712" s="77"/>
    </row>
    <row r="2713" spans="1:7" ht="12.75" x14ac:dyDescent="0.2">
      <c r="A2713" s="62">
        <f ca="1">IFERROR(__xludf.DUMMYFUNCTION("""COMPUTED_VALUE"""),10160344)</f>
        <v>10160344</v>
      </c>
      <c r="B2713" s="62" t="str">
        <f ca="1">IFERROR(__xludf.DUMMYFUNCTION("""COMPUTED_VALUE"""),"Flex de Señal Wifi Samsung S22 ultra")</f>
        <v>Flex de Señal Wifi Samsung S22 ultra</v>
      </c>
      <c r="C2713" s="75">
        <f ca="1">IFERROR(__xludf.DUMMYFUNCTION("""COMPUTED_VALUE"""),190)</f>
        <v>190</v>
      </c>
      <c r="D2713" s="75">
        <f ca="1">IFERROR(__xludf.DUMMYFUNCTION("""COMPUTED_VALUE"""),100)</f>
        <v>100</v>
      </c>
      <c r="E2713" s="76">
        <f ca="1">IFERROR(__xludf.DUMMYFUNCTION("""COMPUTED_VALUE"""),290)</f>
        <v>290</v>
      </c>
      <c r="F2713" s="77">
        <f ca="1">IFERROR(__xludf.DUMMYFUNCTION("""COMPUTED_VALUE"""),10160344)</f>
        <v>10160344</v>
      </c>
      <c r="G2713" s="77"/>
    </row>
    <row r="2714" spans="1:7" ht="12.75" x14ac:dyDescent="0.2">
      <c r="A2714" s="62">
        <f ca="1">IFERROR(__xludf.DUMMYFUNCTION("""COMPUTED_VALUE"""),10160345)</f>
        <v>10160345</v>
      </c>
      <c r="B2714" s="62" t="str">
        <f ca="1">IFERROR(__xludf.DUMMYFUNCTION("""COMPUTED_VALUE"""),"Flex Main Samsung S21")</f>
        <v>Flex Main Samsung S21</v>
      </c>
      <c r="C2714" s="75">
        <f ca="1">IFERROR(__xludf.DUMMYFUNCTION("""COMPUTED_VALUE"""),190)</f>
        <v>190</v>
      </c>
      <c r="D2714" s="75">
        <f ca="1">IFERROR(__xludf.DUMMYFUNCTION("""COMPUTED_VALUE"""),100)</f>
        <v>100</v>
      </c>
      <c r="E2714" s="76">
        <f ca="1">IFERROR(__xludf.DUMMYFUNCTION("""COMPUTED_VALUE"""),290)</f>
        <v>290</v>
      </c>
      <c r="F2714" s="77">
        <f ca="1">IFERROR(__xludf.DUMMYFUNCTION("""COMPUTED_VALUE"""),10160345)</f>
        <v>10160345</v>
      </c>
      <c r="G2714" s="77"/>
    </row>
    <row r="2715" spans="1:7" ht="12.75" x14ac:dyDescent="0.2">
      <c r="A2715" s="78">
        <f ca="1">IFERROR(__xludf.DUMMYFUNCTION("""COMPUTED_VALUE"""),10160346)</f>
        <v>10160346</v>
      </c>
      <c r="B2715" s="78" t="str">
        <f ca="1">IFERROR(__xludf.DUMMYFUNCTION("""COMPUTED_VALUE"""),"Flex Main Samsung S21 Plus")</f>
        <v>Flex Main Samsung S21 Plus</v>
      </c>
      <c r="C2715" s="79">
        <f ca="1">IFERROR(__xludf.DUMMYFUNCTION("""COMPUTED_VALUE"""),190)</f>
        <v>190</v>
      </c>
      <c r="D2715" s="79">
        <f ca="1">IFERROR(__xludf.DUMMYFUNCTION("""COMPUTED_VALUE"""),100)</f>
        <v>100</v>
      </c>
      <c r="E2715" s="80">
        <f ca="1">IFERROR(__xludf.DUMMYFUNCTION("""COMPUTED_VALUE"""),290)</f>
        <v>290</v>
      </c>
      <c r="F2715" s="77">
        <f ca="1">IFERROR(__xludf.DUMMYFUNCTION("""COMPUTED_VALUE"""),10160346)</f>
        <v>10160346</v>
      </c>
      <c r="G2715" s="77"/>
    </row>
    <row r="2716" spans="1:7" ht="12.75" x14ac:dyDescent="0.2">
      <c r="A2716" s="78">
        <f ca="1">IFERROR(__xludf.DUMMYFUNCTION("""COMPUTED_VALUE"""),10160347)</f>
        <v>10160347</v>
      </c>
      <c r="B2716" s="78" t="str">
        <f ca="1">IFERROR(__xludf.DUMMYFUNCTION("""COMPUTED_VALUE"""),"Flex Main Samsung S22 Ultra")</f>
        <v>Flex Main Samsung S22 Ultra</v>
      </c>
      <c r="C2716" s="79">
        <f ca="1">IFERROR(__xludf.DUMMYFUNCTION("""COMPUTED_VALUE"""),180)</f>
        <v>180</v>
      </c>
      <c r="D2716" s="79">
        <f ca="1">IFERROR(__xludf.DUMMYFUNCTION("""COMPUTED_VALUE"""),100)</f>
        <v>100</v>
      </c>
      <c r="E2716" s="80">
        <f ca="1">IFERROR(__xludf.DUMMYFUNCTION("""COMPUTED_VALUE"""),280)</f>
        <v>280</v>
      </c>
      <c r="F2716" s="77">
        <f ca="1">IFERROR(__xludf.DUMMYFUNCTION("""COMPUTED_VALUE"""),10160347)</f>
        <v>10160347</v>
      </c>
      <c r="G2716" s="77"/>
    </row>
    <row r="2717" spans="1:7" ht="12.75" x14ac:dyDescent="0.2">
      <c r="A2717" s="78">
        <f ca="1">IFERROR(__xludf.DUMMYFUNCTION("""COMPUTED_VALUE"""),10160348)</f>
        <v>10160348</v>
      </c>
      <c r="B2717" s="78" t="str">
        <f ca="1">IFERROR(__xludf.DUMMYFUNCTION("""COMPUTED_VALUE"""),"Glass lens Samsung S21")</f>
        <v>Glass lens Samsung S21</v>
      </c>
      <c r="C2717" s="79">
        <f ca="1">IFERROR(__xludf.DUMMYFUNCTION("""COMPUTED_VALUE"""),90)</f>
        <v>90</v>
      </c>
      <c r="D2717" s="79">
        <f ca="1">IFERROR(__xludf.DUMMYFUNCTION("""COMPUTED_VALUE"""),100)</f>
        <v>100</v>
      </c>
      <c r="E2717" s="80">
        <f ca="1">IFERROR(__xludf.DUMMYFUNCTION("""COMPUTED_VALUE"""),190)</f>
        <v>190</v>
      </c>
      <c r="F2717" s="77">
        <f ca="1">IFERROR(__xludf.DUMMYFUNCTION("""COMPUTED_VALUE"""),10160348)</f>
        <v>10160348</v>
      </c>
      <c r="G2717" s="77"/>
    </row>
    <row r="2718" spans="1:7" ht="12.75" x14ac:dyDescent="0.2">
      <c r="A2718" s="78">
        <f ca="1">IFERROR(__xludf.DUMMYFUNCTION("""COMPUTED_VALUE"""),10160349)</f>
        <v>10160349</v>
      </c>
      <c r="B2718" s="78" t="str">
        <f ca="1">IFERROR(__xludf.DUMMYFUNCTION("""COMPUTED_VALUE"""),"Glass lens Samsung S21 Plus")</f>
        <v>Glass lens Samsung S21 Plus</v>
      </c>
      <c r="C2718" s="79">
        <f ca="1">IFERROR(__xludf.DUMMYFUNCTION("""COMPUTED_VALUE"""),110)</f>
        <v>110</v>
      </c>
      <c r="D2718" s="79">
        <f ca="1">IFERROR(__xludf.DUMMYFUNCTION("""COMPUTED_VALUE"""),100)</f>
        <v>100</v>
      </c>
      <c r="E2718" s="80">
        <f ca="1">IFERROR(__xludf.DUMMYFUNCTION("""COMPUTED_VALUE"""),210)</f>
        <v>210</v>
      </c>
      <c r="F2718" s="77">
        <f ca="1">IFERROR(__xludf.DUMMYFUNCTION("""COMPUTED_VALUE"""),10160349)</f>
        <v>10160349</v>
      </c>
      <c r="G2718" s="77"/>
    </row>
    <row r="2719" spans="1:7" ht="12.75" x14ac:dyDescent="0.2">
      <c r="A2719" s="78">
        <f ca="1">IFERROR(__xludf.DUMMYFUNCTION("""COMPUTED_VALUE"""),10160350)</f>
        <v>10160350</v>
      </c>
      <c r="B2719" s="78" t="str">
        <f ca="1">IFERROR(__xludf.DUMMYFUNCTION("""COMPUTED_VALUE"""),"Glass lens Samsung S21 Ultra")</f>
        <v>Glass lens Samsung S21 Ultra</v>
      </c>
      <c r="C2719" s="79">
        <f ca="1">IFERROR(__xludf.DUMMYFUNCTION("""COMPUTED_VALUE"""),190)</f>
        <v>190</v>
      </c>
      <c r="D2719" s="79">
        <f ca="1">IFERROR(__xludf.DUMMYFUNCTION("""COMPUTED_VALUE"""),100)</f>
        <v>100</v>
      </c>
      <c r="E2719" s="80">
        <f ca="1">IFERROR(__xludf.DUMMYFUNCTION("""COMPUTED_VALUE"""),290)</f>
        <v>290</v>
      </c>
      <c r="F2719" s="77">
        <f ca="1">IFERROR(__xludf.DUMMYFUNCTION("""COMPUTED_VALUE"""),10160350)</f>
        <v>10160350</v>
      </c>
      <c r="G2719" s="77"/>
    </row>
    <row r="2720" spans="1:7" ht="12.75" x14ac:dyDescent="0.2">
      <c r="A2720" s="78">
        <f ca="1">IFERROR(__xludf.DUMMYFUNCTION("""COMPUTED_VALUE"""),10160351)</f>
        <v>10160351</v>
      </c>
      <c r="B2720" s="78" t="str">
        <f ca="1">IFERROR(__xludf.DUMMYFUNCTION("""COMPUTED_VALUE"""),"Glass lens Samsung S22 Ultra")</f>
        <v>Glass lens Samsung S22 Ultra</v>
      </c>
      <c r="C2720" s="79">
        <f ca="1">IFERROR(__xludf.DUMMYFUNCTION("""COMPUTED_VALUE"""),250)</f>
        <v>250</v>
      </c>
      <c r="D2720" s="79">
        <f ca="1">IFERROR(__xludf.DUMMYFUNCTION("""COMPUTED_VALUE"""),100)</f>
        <v>100</v>
      </c>
      <c r="E2720" s="80">
        <f ca="1">IFERROR(__xludf.DUMMYFUNCTION("""COMPUTED_VALUE"""),350)</f>
        <v>350</v>
      </c>
      <c r="F2720" s="77">
        <f ca="1">IFERROR(__xludf.DUMMYFUNCTION("""COMPUTED_VALUE"""),10160351)</f>
        <v>10160351</v>
      </c>
      <c r="G2720" s="77"/>
    </row>
    <row r="2721" spans="1:7" ht="12.75" x14ac:dyDescent="0.2">
      <c r="A2721" s="78">
        <f ca="1">IFERROR(__xludf.DUMMYFUNCTION("""COMPUTED_VALUE"""),10010538)</f>
        <v>10010538</v>
      </c>
      <c r="B2721" s="78" t="str">
        <f ca="1">IFERROR(__xludf.DUMMYFUNCTION("""COMPUTED_VALUE"""),"Pantalla Samsung Z Fold 4 INTERNA")</f>
        <v>Pantalla Samsung Z Fold 4 INTERNA</v>
      </c>
      <c r="C2721" s="79">
        <f ca="1">IFERROR(__xludf.DUMMYFUNCTION("""COMPUTED_VALUE"""),2840)</f>
        <v>2840</v>
      </c>
      <c r="D2721" s="79">
        <f ca="1">IFERROR(__xludf.DUMMYFUNCTION("""COMPUTED_VALUE"""),150)</f>
        <v>150</v>
      </c>
      <c r="E2721" s="80">
        <f ca="1">IFERROR(__xludf.DUMMYFUNCTION("""COMPUTED_VALUE"""),2990)</f>
        <v>2990</v>
      </c>
      <c r="F2721" s="77">
        <f ca="1">IFERROR(__xludf.DUMMYFUNCTION("""COMPUTED_VALUE"""),10010538)</f>
        <v>10010538</v>
      </c>
      <c r="G2721" s="77"/>
    </row>
    <row r="2722" spans="1:7" ht="12.75" x14ac:dyDescent="0.2">
      <c r="A2722" s="78">
        <f ca="1">IFERROR(__xludf.DUMMYFUNCTION("""COMPUTED_VALUE"""),10010539)</f>
        <v>10010539</v>
      </c>
      <c r="B2722" s="78" t="str">
        <f ca="1">IFERROR(__xludf.DUMMYFUNCTION("""COMPUTED_VALUE"""),"Pantalla Samsung Z Fold 4 EXTERNA")</f>
        <v>Pantalla Samsung Z Fold 4 EXTERNA</v>
      </c>
      <c r="C2722" s="79">
        <f ca="1">IFERROR(__xludf.DUMMYFUNCTION("""COMPUTED_VALUE"""),950)</f>
        <v>950</v>
      </c>
      <c r="D2722" s="79">
        <f ca="1">IFERROR(__xludf.DUMMYFUNCTION("""COMPUTED_VALUE"""),200)</f>
        <v>200</v>
      </c>
      <c r="E2722" s="80">
        <f ca="1">IFERROR(__xludf.DUMMYFUNCTION("""COMPUTED_VALUE"""),1150)</f>
        <v>1150</v>
      </c>
      <c r="F2722" s="77">
        <f ca="1">IFERROR(__xludf.DUMMYFUNCTION("""COMPUTED_VALUE"""),10010539)</f>
        <v>10010539</v>
      </c>
      <c r="G2722" s="77"/>
    </row>
    <row r="2723" spans="1:7" ht="12.75" x14ac:dyDescent="0.2">
      <c r="A2723" s="78">
        <f ca="1">IFERROR(__xludf.DUMMYFUNCTION("""COMPUTED_VALUE"""),10080013)</f>
        <v>10080013</v>
      </c>
      <c r="B2723" s="78" t="str">
        <f ca="1">IFERROR(__xludf.DUMMYFUNCTION("""COMPUTED_VALUE"""),"Apple Pencil 2 Original")</f>
        <v>Apple Pencil 2 Original</v>
      </c>
      <c r="C2723" s="79">
        <f ca="1">IFERROR(__xludf.DUMMYFUNCTION("""COMPUTED_VALUE"""),680)</f>
        <v>680</v>
      </c>
      <c r="D2723" s="78"/>
      <c r="E2723" s="80">
        <f ca="1">IFERROR(__xludf.DUMMYFUNCTION("""COMPUTED_VALUE"""),680)</f>
        <v>680</v>
      </c>
      <c r="F2723" s="77">
        <f ca="1">IFERROR(__xludf.DUMMYFUNCTION("""COMPUTED_VALUE"""),10080013)</f>
        <v>10080013</v>
      </c>
      <c r="G2723" s="77"/>
    </row>
    <row r="2724" spans="1:7" ht="12.75" x14ac:dyDescent="0.2">
      <c r="A2724" s="78">
        <f ca="1">IFERROR(__xludf.DUMMYFUNCTION("""COMPUTED_VALUE"""),20140054)</f>
        <v>20140054</v>
      </c>
      <c r="B2724" s="78" t="str">
        <f ca="1">IFERROR(__xludf.DUMMYFUNCTION("""COMPUTED_VALUE"""),"Magic Mouse 2 Original")</f>
        <v>Magic Mouse 2 Original</v>
      </c>
      <c r="C2724" s="79">
        <f ca="1">IFERROR(__xludf.DUMMYFUNCTION("""COMPUTED_VALUE"""),470)</f>
        <v>470</v>
      </c>
      <c r="D2724" s="78"/>
      <c r="E2724" s="80">
        <f ca="1">IFERROR(__xludf.DUMMYFUNCTION("""COMPUTED_VALUE"""),470)</f>
        <v>470</v>
      </c>
      <c r="F2724" s="77">
        <f ca="1">IFERROR(__xludf.DUMMYFUNCTION("""COMPUTED_VALUE"""),20140054)</f>
        <v>20140054</v>
      </c>
      <c r="G2724" s="77"/>
    </row>
    <row r="2725" spans="1:7" ht="12.75" x14ac:dyDescent="0.2">
      <c r="A2725" s="78">
        <f ca="1">IFERROR(__xludf.DUMMYFUNCTION("""COMPUTED_VALUE"""),10010540)</f>
        <v>10010540</v>
      </c>
      <c r="B2725" s="78" t="str">
        <f ca="1">IFERROR(__xludf.DUMMYFUNCTION("""COMPUTED_VALUE"""),"Pantalla Samsung A73 5g")</f>
        <v>Pantalla Samsung A73 5g</v>
      </c>
      <c r="C2725" s="79">
        <f ca="1">IFERROR(__xludf.DUMMYFUNCTION("""COMPUTED_VALUE"""),490)</f>
        <v>490</v>
      </c>
      <c r="D2725" s="79">
        <f ca="1">IFERROR(__xludf.DUMMYFUNCTION("""COMPUTED_VALUE"""),100)</f>
        <v>100</v>
      </c>
      <c r="E2725" s="80">
        <f ca="1">IFERROR(__xludf.DUMMYFUNCTION("""COMPUTED_VALUE"""),590)</f>
        <v>590</v>
      </c>
      <c r="F2725" s="77">
        <f ca="1">IFERROR(__xludf.DUMMYFUNCTION("""COMPUTED_VALUE"""),10010540)</f>
        <v>10010540</v>
      </c>
      <c r="G2725" s="77"/>
    </row>
    <row r="2726" spans="1:7" ht="12.75" x14ac:dyDescent="0.2">
      <c r="A2726" s="78">
        <f ca="1">IFERROR(__xludf.DUMMYFUNCTION("""COMPUTED_VALUE"""),10010541)</f>
        <v>10010541</v>
      </c>
      <c r="B2726" s="78" t="str">
        <f ca="1">IFERROR(__xludf.DUMMYFUNCTION("""COMPUTED_VALUE"""),"Pantalla Samsung A23/ a235/ A23 4g/ A23 LTE")</f>
        <v>Pantalla Samsung A23/ a235/ A23 4g/ A23 LTE</v>
      </c>
      <c r="C2726" s="79">
        <f ca="1">IFERROR(__xludf.DUMMYFUNCTION("""COMPUTED_VALUE"""),140)</f>
        <v>140</v>
      </c>
      <c r="D2726" s="79">
        <f ca="1">IFERROR(__xludf.DUMMYFUNCTION("""COMPUTED_VALUE"""),100)</f>
        <v>100</v>
      </c>
      <c r="E2726" s="80">
        <f ca="1">IFERROR(__xludf.DUMMYFUNCTION("""COMPUTED_VALUE"""),240)</f>
        <v>240</v>
      </c>
      <c r="F2726" s="77">
        <f ca="1">IFERROR(__xludf.DUMMYFUNCTION("""COMPUTED_VALUE"""),10010541)</f>
        <v>10010541</v>
      </c>
      <c r="G2726" s="77"/>
    </row>
    <row r="2727" spans="1:7" ht="12.75" x14ac:dyDescent="0.2">
      <c r="A2727" s="78">
        <f ca="1">IFERROR(__xludf.DUMMYFUNCTION("""COMPUTED_VALUE"""),10100048)</f>
        <v>10100048</v>
      </c>
      <c r="B2727" s="78" t="str">
        <f ca="1">IFERROR(__xludf.DUMMYFUNCTION("""COMPUTED_VALUE"""),"Placa Iphone 14 Pro Max")</f>
        <v>Placa Iphone 14 Pro Max</v>
      </c>
      <c r="C2727" s="78"/>
      <c r="D2727" s="78"/>
      <c r="E2727" s="80">
        <f ca="1">IFERROR(__xludf.DUMMYFUNCTION("""COMPUTED_VALUE"""),0)</f>
        <v>0</v>
      </c>
      <c r="F2727" s="77">
        <f ca="1">IFERROR(__xludf.DUMMYFUNCTION("""COMPUTED_VALUE"""),10100048)</f>
        <v>10100048</v>
      </c>
      <c r="G2727" s="77"/>
    </row>
    <row r="2728" spans="1:7" ht="12.75" x14ac:dyDescent="0.2">
      <c r="A2728" s="78">
        <f ca="1">IFERROR(__xludf.DUMMYFUNCTION("""COMPUTED_VALUE"""),10140112)</f>
        <v>10140112</v>
      </c>
      <c r="B2728" s="78" t="str">
        <f ca="1">IFERROR(__xludf.DUMMYFUNCTION("""COMPUTED_VALUE"""),"Camara Frontal  Iphone 14 Pro Max")</f>
        <v>Camara Frontal  Iphone 14 Pro Max</v>
      </c>
      <c r="C2728" s="79">
        <f ca="1">IFERROR(__xludf.DUMMYFUNCTION("""COMPUTED_VALUE"""),590)</f>
        <v>590</v>
      </c>
      <c r="D2728" s="79">
        <f ca="1">IFERROR(__xludf.DUMMYFUNCTION("""COMPUTED_VALUE"""),100)</f>
        <v>100</v>
      </c>
      <c r="E2728" s="80">
        <f ca="1">IFERROR(__xludf.DUMMYFUNCTION("""COMPUTED_VALUE"""),690)</f>
        <v>690</v>
      </c>
      <c r="F2728" s="77">
        <f ca="1">IFERROR(__xludf.DUMMYFUNCTION("""COMPUTED_VALUE"""),10140112)</f>
        <v>10140112</v>
      </c>
      <c r="G2728" s="77"/>
    </row>
    <row r="2729" spans="1:7" ht="12.75" x14ac:dyDescent="0.2">
      <c r="A2729" s="78">
        <f ca="1">IFERROR(__xludf.DUMMYFUNCTION("""COMPUTED_VALUE"""),10140113)</f>
        <v>10140113</v>
      </c>
      <c r="B2729" s="78" t="str">
        <f ca="1">IFERROR(__xludf.DUMMYFUNCTION("""COMPUTED_VALUE"""),"Camara Trasera  Iphone 14 Pro Max")</f>
        <v>Camara Trasera  Iphone 14 Pro Max</v>
      </c>
      <c r="C2729" s="79">
        <f ca="1">IFERROR(__xludf.DUMMYFUNCTION("""COMPUTED_VALUE"""),890)</f>
        <v>890</v>
      </c>
      <c r="D2729" s="79">
        <f ca="1">IFERROR(__xludf.DUMMYFUNCTION("""COMPUTED_VALUE"""),100)</f>
        <v>100</v>
      </c>
      <c r="E2729" s="80">
        <f ca="1">IFERROR(__xludf.DUMMYFUNCTION("""COMPUTED_VALUE"""),990)</f>
        <v>990</v>
      </c>
      <c r="F2729" s="77">
        <f ca="1">IFERROR(__xludf.DUMMYFUNCTION("""COMPUTED_VALUE"""),10140113)</f>
        <v>10140113</v>
      </c>
      <c r="G2729" s="77"/>
    </row>
    <row r="2730" spans="1:7" ht="12.75" x14ac:dyDescent="0.2">
      <c r="A2730" s="78">
        <f ca="1">IFERROR(__xludf.DUMMYFUNCTION("""COMPUTED_VALUE"""),10160352)</f>
        <v>10160352</v>
      </c>
      <c r="B2730" s="78" t="str">
        <f ca="1">IFERROR(__xludf.DUMMYFUNCTION("""COMPUTED_VALUE"""),"Parlante  Iphone 14 Pro Max")</f>
        <v>Parlante  Iphone 14 Pro Max</v>
      </c>
      <c r="C2730" s="79">
        <f ca="1">IFERROR(__xludf.DUMMYFUNCTION("""COMPUTED_VALUE"""),490)</f>
        <v>490</v>
      </c>
      <c r="D2730" s="79">
        <f ca="1">IFERROR(__xludf.DUMMYFUNCTION("""COMPUTED_VALUE"""),100)</f>
        <v>100</v>
      </c>
      <c r="E2730" s="80">
        <f ca="1">IFERROR(__xludf.DUMMYFUNCTION("""COMPUTED_VALUE"""),590)</f>
        <v>590</v>
      </c>
      <c r="F2730" s="77">
        <f ca="1">IFERROR(__xludf.DUMMYFUNCTION("""COMPUTED_VALUE"""),10160352)</f>
        <v>10160352</v>
      </c>
      <c r="G2730" s="77"/>
    </row>
    <row r="2731" spans="1:7" ht="12.75" x14ac:dyDescent="0.2">
      <c r="A2731" s="78">
        <f ca="1">IFERROR(__xludf.DUMMYFUNCTION("""COMPUTED_VALUE"""),10160353)</f>
        <v>10160353</v>
      </c>
      <c r="B2731" s="78" t="str">
        <f ca="1">IFERROR(__xludf.DUMMYFUNCTION("""COMPUTED_VALUE"""),"Auricular  Iphone 14 Pro Max")</f>
        <v>Auricular  Iphone 14 Pro Max</v>
      </c>
      <c r="C2731" s="79">
        <f ca="1">IFERROR(__xludf.DUMMYFUNCTION("""COMPUTED_VALUE"""),490)</f>
        <v>490</v>
      </c>
      <c r="D2731" s="79">
        <f ca="1">IFERROR(__xludf.DUMMYFUNCTION("""COMPUTED_VALUE"""),100)</f>
        <v>100</v>
      </c>
      <c r="E2731" s="80">
        <f ca="1">IFERROR(__xludf.DUMMYFUNCTION("""COMPUTED_VALUE"""),590)</f>
        <v>590</v>
      </c>
      <c r="F2731" s="77">
        <f ca="1">IFERROR(__xludf.DUMMYFUNCTION("""COMPUTED_VALUE"""),10160353)</f>
        <v>10160353</v>
      </c>
      <c r="G2731" s="77"/>
    </row>
    <row r="2732" spans="1:7" ht="12.75" x14ac:dyDescent="0.2">
      <c r="A2732" s="78">
        <f ca="1">IFERROR(__xludf.DUMMYFUNCTION("""COMPUTED_VALUE"""),10160354)</f>
        <v>10160354</v>
      </c>
      <c r="B2732" s="78" t="str">
        <f ca="1">IFERROR(__xludf.DUMMYFUNCTION("""COMPUTED_VALUE"""),"Puerto de Carga  Iphone 14 Pro Max")</f>
        <v>Puerto de Carga  Iphone 14 Pro Max</v>
      </c>
      <c r="C2732" s="79">
        <f ca="1">IFERROR(__xludf.DUMMYFUNCTION("""COMPUTED_VALUE"""),690)</f>
        <v>690</v>
      </c>
      <c r="D2732" s="79">
        <f ca="1">IFERROR(__xludf.DUMMYFUNCTION("""COMPUTED_VALUE"""),100)</f>
        <v>100</v>
      </c>
      <c r="E2732" s="80">
        <f ca="1">IFERROR(__xludf.DUMMYFUNCTION("""COMPUTED_VALUE"""),790)</f>
        <v>790</v>
      </c>
      <c r="F2732" s="77">
        <f ca="1">IFERROR(__xludf.DUMMYFUNCTION("""COMPUTED_VALUE"""),10160354)</f>
        <v>10160354</v>
      </c>
      <c r="G2732" s="77"/>
    </row>
    <row r="2733" spans="1:7" ht="12.75" x14ac:dyDescent="0.2">
      <c r="A2733" s="78">
        <f ca="1">IFERROR(__xludf.DUMMYFUNCTION("""COMPUTED_VALUE"""),10020190)</f>
        <v>10020190</v>
      </c>
      <c r="B2733" s="78" t="str">
        <f ca="1">IFERROR(__xludf.DUMMYFUNCTION("""COMPUTED_VALUE"""),"Bateria Celulares Samsung S22 ultra")</f>
        <v>Bateria Celulares Samsung S22 ultra</v>
      </c>
      <c r="C2733" s="79">
        <f ca="1">IFERROR(__xludf.DUMMYFUNCTION("""COMPUTED_VALUE"""),400)</f>
        <v>400</v>
      </c>
      <c r="D2733" s="79">
        <f ca="1">IFERROR(__xludf.DUMMYFUNCTION("""COMPUTED_VALUE"""),100)</f>
        <v>100</v>
      </c>
      <c r="E2733" s="80">
        <f ca="1">IFERROR(__xludf.DUMMYFUNCTION("""COMPUTED_VALUE"""),500)</f>
        <v>500</v>
      </c>
      <c r="F2733" s="77">
        <f ca="1">IFERROR(__xludf.DUMMYFUNCTION("""COMPUTED_VALUE"""),10020190)</f>
        <v>10020190</v>
      </c>
      <c r="G2733" s="77"/>
    </row>
    <row r="2734" spans="1:7" ht="12.75" x14ac:dyDescent="0.2">
      <c r="A2734" s="78">
        <f ca="1">IFERROR(__xludf.DUMMYFUNCTION("""COMPUTED_VALUE"""),20010051)</f>
        <v>20010051</v>
      </c>
      <c r="B2734" s="78" t="str">
        <f ca="1">IFERROR(__xludf.DUMMYFUNCTION("""COMPUTED_VALUE"""),"TECLADO MACBOOK A2141 (ingles)")</f>
        <v>TECLADO MACBOOK A2141 (ingles)</v>
      </c>
      <c r="C2734" s="79">
        <f ca="1">IFERROR(__xludf.DUMMYFUNCTION("""COMPUTED_VALUE"""),690)</f>
        <v>690</v>
      </c>
      <c r="D2734" s="79">
        <f ca="1">IFERROR(__xludf.DUMMYFUNCTION("""COMPUTED_VALUE"""),100)</f>
        <v>100</v>
      </c>
      <c r="E2734" s="80">
        <f ca="1">IFERROR(__xludf.DUMMYFUNCTION("""COMPUTED_VALUE"""),790)</f>
        <v>790</v>
      </c>
      <c r="F2734" s="77">
        <f ca="1">IFERROR(__xludf.DUMMYFUNCTION("""COMPUTED_VALUE"""),20010051)</f>
        <v>20010051</v>
      </c>
      <c r="G2734" s="77"/>
    </row>
    <row r="2735" spans="1:7" ht="12.75" x14ac:dyDescent="0.2">
      <c r="A2735" s="78">
        <f ca="1">IFERROR(__xludf.DUMMYFUNCTION("""COMPUTED_VALUE"""),20160031)</f>
        <v>20160031</v>
      </c>
      <c r="B2735" s="78" t="str">
        <f ca="1">IFERROR(__xludf.DUMMYFUNCTION("""COMPUTED_VALUE"""),"Top Case A2141")</f>
        <v>Top Case A2141</v>
      </c>
      <c r="C2735" s="79">
        <f ca="1">IFERROR(__xludf.DUMMYFUNCTION("""COMPUTED_VALUE"""),990)</f>
        <v>990</v>
      </c>
      <c r="D2735" s="79">
        <f ca="1">IFERROR(__xludf.DUMMYFUNCTION("""COMPUTED_VALUE"""),100)</f>
        <v>100</v>
      </c>
      <c r="E2735" s="80">
        <f ca="1">IFERROR(__xludf.DUMMYFUNCTION("""COMPUTED_VALUE"""),1090)</f>
        <v>1090</v>
      </c>
      <c r="F2735" s="77">
        <f ca="1">IFERROR(__xludf.DUMMYFUNCTION("""COMPUTED_VALUE"""),20160031)</f>
        <v>20160031</v>
      </c>
      <c r="G2735" s="77"/>
    </row>
    <row r="2736" spans="1:7" ht="12.75" x14ac:dyDescent="0.2">
      <c r="A2736" s="78">
        <f ca="1">IFERROR(__xludf.DUMMYFUNCTION("""COMPUTED_VALUE"""),10160356)</f>
        <v>10160356</v>
      </c>
      <c r="B2736" s="78" t="str">
        <f ca="1">IFERROR(__xludf.DUMMYFUNCTION("""COMPUTED_VALUE"""),"Puerto de Carga Samsung S20 FE")</f>
        <v>Puerto de Carga Samsung S20 FE</v>
      </c>
      <c r="C2736" s="79">
        <f ca="1">IFERROR(__xludf.DUMMYFUNCTION("""COMPUTED_VALUE"""),80)</f>
        <v>80</v>
      </c>
      <c r="D2736" s="79">
        <f ca="1">IFERROR(__xludf.DUMMYFUNCTION("""COMPUTED_VALUE"""),50)</f>
        <v>50</v>
      </c>
      <c r="E2736" s="80">
        <f ca="1">IFERROR(__xludf.DUMMYFUNCTION("""COMPUTED_VALUE"""),130)</f>
        <v>130</v>
      </c>
      <c r="F2736" s="77">
        <f ca="1">IFERROR(__xludf.DUMMYFUNCTION("""COMPUTED_VALUE"""),10160356)</f>
        <v>10160356</v>
      </c>
      <c r="G2736" s="77"/>
    </row>
    <row r="2737" spans="1:7" ht="12.75" x14ac:dyDescent="0.2">
      <c r="A2737" s="78">
        <f ca="1">IFERROR(__xludf.DUMMYFUNCTION("""COMPUTED_VALUE"""),10160357)</f>
        <v>10160357</v>
      </c>
      <c r="B2737" s="78" t="str">
        <f ca="1">IFERROR(__xludf.DUMMYFUNCTION("""COMPUTED_VALUE"""),"Puerto de carga Samsung A73 5g")</f>
        <v>Puerto de carga Samsung A73 5g</v>
      </c>
      <c r="C2737" s="79">
        <f ca="1">IFERROR(__xludf.DUMMYFUNCTION("""COMPUTED_VALUE"""),50)</f>
        <v>50</v>
      </c>
      <c r="D2737" s="79">
        <f ca="1">IFERROR(__xludf.DUMMYFUNCTION("""COMPUTED_VALUE"""),50)</f>
        <v>50</v>
      </c>
      <c r="E2737" s="80">
        <f ca="1">IFERROR(__xludf.DUMMYFUNCTION("""COMPUTED_VALUE"""),100)</f>
        <v>100</v>
      </c>
      <c r="F2737" s="77">
        <f ca="1">IFERROR(__xludf.DUMMYFUNCTION("""COMPUTED_VALUE"""),10160357)</f>
        <v>10160357</v>
      </c>
      <c r="G2737" s="77"/>
    </row>
    <row r="2738" spans="1:7" ht="12.75" x14ac:dyDescent="0.2">
      <c r="A2738" s="78">
        <f ca="1">IFERROR(__xludf.DUMMYFUNCTION("""COMPUTED_VALUE"""),10160358)</f>
        <v>10160358</v>
      </c>
      <c r="B2738" s="78" t="str">
        <f ca="1">IFERROR(__xludf.DUMMYFUNCTION("""COMPUTED_VALUE"""),"Puerto de Carga Samsung A23 / A235f / A234G")</f>
        <v>Puerto de Carga Samsung A23 / A235f / A234G</v>
      </c>
      <c r="C2738" s="79">
        <f ca="1">IFERROR(__xludf.DUMMYFUNCTION("""COMPUTED_VALUE"""),60)</f>
        <v>60</v>
      </c>
      <c r="D2738" s="79">
        <f ca="1">IFERROR(__xludf.DUMMYFUNCTION("""COMPUTED_VALUE"""),50)</f>
        <v>50</v>
      </c>
      <c r="E2738" s="80">
        <f ca="1">IFERROR(__xludf.DUMMYFUNCTION("""COMPUTED_VALUE"""),110)</f>
        <v>110</v>
      </c>
      <c r="F2738" s="77">
        <f ca="1">IFERROR(__xludf.DUMMYFUNCTION("""COMPUTED_VALUE"""),10160358)</f>
        <v>10160358</v>
      </c>
      <c r="G2738" s="77"/>
    </row>
    <row r="2739" spans="1:7" ht="12.75" x14ac:dyDescent="0.2">
      <c r="A2739" s="78">
        <f ca="1">IFERROR(__xludf.DUMMYFUNCTION("""COMPUTED_VALUE"""),10160359)</f>
        <v>10160359</v>
      </c>
      <c r="B2739" s="78" t="str">
        <f ca="1">IFERROR(__xludf.DUMMYFUNCTION("""COMPUTED_VALUE"""),"Flex Main Samsung A71")</f>
        <v>Flex Main Samsung A71</v>
      </c>
      <c r="C2739" s="79">
        <f ca="1">IFERROR(__xludf.DUMMYFUNCTION("""COMPUTED_VALUE"""),40)</f>
        <v>40</v>
      </c>
      <c r="D2739" s="79">
        <f ca="1">IFERROR(__xludf.DUMMYFUNCTION("""COMPUTED_VALUE"""),50)</f>
        <v>50</v>
      </c>
      <c r="E2739" s="80">
        <f ca="1">IFERROR(__xludf.DUMMYFUNCTION("""COMPUTED_VALUE"""),90)</f>
        <v>90</v>
      </c>
      <c r="F2739" s="77">
        <f ca="1">IFERROR(__xludf.DUMMYFUNCTION("""COMPUTED_VALUE"""),10160359)</f>
        <v>10160359</v>
      </c>
      <c r="G2739" s="77"/>
    </row>
    <row r="2740" spans="1:7" ht="12.75" x14ac:dyDescent="0.2">
      <c r="A2740" s="78">
        <f ca="1">IFERROR(__xludf.DUMMYFUNCTION("""COMPUTED_VALUE"""),10160360)</f>
        <v>10160360</v>
      </c>
      <c r="B2740" s="78" t="str">
        <f ca="1">IFERROR(__xludf.DUMMYFUNCTION("""COMPUTED_VALUE"""),"Flex MAin Samsung A23 / A236 5G")</f>
        <v>Flex MAin Samsung A23 / A236 5G</v>
      </c>
      <c r="C2740" s="79">
        <f ca="1">IFERROR(__xludf.DUMMYFUNCTION("""COMPUTED_VALUE"""),50)</f>
        <v>50</v>
      </c>
      <c r="D2740" s="79">
        <f ca="1">IFERROR(__xludf.DUMMYFUNCTION("""COMPUTED_VALUE"""),50)</f>
        <v>50</v>
      </c>
      <c r="E2740" s="80">
        <f ca="1">IFERROR(__xludf.DUMMYFUNCTION("""COMPUTED_VALUE"""),100)</f>
        <v>100</v>
      </c>
      <c r="F2740" s="77">
        <f ca="1">IFERROR(__xludf.DUMMYFUNCTION("""COMPUTED_VALUE"""),10160360)</f>
        <v>10160360</v>
      </c>
      <c r="G2740" s="77"/>
    </row>
    <row r="2741" spans="1:7" ht="12.75" x14ac:dyDescent="0.2">
      <c r="A2741" s="78">
        <f ca="1">IFERROR(__xludf.DUMMYFUNCTION("""COMPUTED_VALUE"""),10160361)</f>
        <v>10160361</v>
      </c>
      <c r="B2741" s="78" t="str">
        <f ca="1">IFERROR(__xludf.DUMMYFUNCTION("""COMPUTED_VALUE"""),"Flex MAin Samsung S20")</f>
        <v>Flex MAin Samsung S20</v>
      </c>
      <c r="C2741" s="79">
        <f ca="1">IFERROR(__xludf.DUMMYFUNCTION("""COMPUTED_VALUE"""),100)</f>
        <v>100</v>
      </c>
      <c r="D2741" s="79">
        <f ca="1">IFERROR(__xludf.DUMMYFUNCTION("""COMPUTED_VALUE"""),50)</f>
        <v>50</v>
      </c>
      <c r="E2741" s="80">
        <f ca="1">IFERROR(__xludf.DUMMYFUNCTION("""COMPUTED_VALUE"""),150)</f>
        <v>150</v>
      </c>
      <c r="F2741" s="77">
        <f ca="1">IFERROR(__xludf.DUMMYFUNCTION("""COMPUTED_VALUE"""),10160361)</f>
        <v>10160361</v>
      </c>
      <c r="G2741" s="77"/>
    </row>
    <row r="2742" spans="1:7" ht="12.75" x14ac:dyDescent="0.2">
      <c r="A2742" s="78">
        <f ca="1">IFERROR(__xludf.DUMMYFUNCTION("""COMPUTED_VALUE"""),10160362)</f>
        <v>10160362</v>
      </c>
      <c r="B2742" s="78" t="str">
        <f ca="1">IFERROR(__xludf.DUMMYFUNCTION("""COMPUTED_VALUE"""),"Flex MAin Samsung S20 plus")</f>
        <v>Flex MAin Samsung S20 plus</v>
      </c>
      <c r="C2742" s="79">
        <f ca="1">IFERROR(__xludf.DUMMYFUNCTION("""COMPUTED_VALUE"""),100)</f>
        <v>100</v>
      </c>
      <c r="D2742" s="79">
        <f ca="1">IFERROR(__xludf.DUMMYFUNCTION("""COMPUTED_VALUE"""),50)</f>
        <v>50</v>
      </c>
      <c r="E2742" s="80">
        <f ca="1">IFERROR(__xludf.DUMMYFUNCTION("""COMPUTED_VALUE"""),150)</f>
        <v>150</v>
      </c>
      <c r="F2742" s="77">
        <f ca="1">IFERROR(__xludf.DUMMYFUNCTION("""COMPUTED_VALUE"""),10160362)</f>
        <v>10160362</v>
      </c>
      <c r="G2742" s="77"/>
    </row>
    <row r="2743" spans="1:7" ht="12.75" x14ac:dyDescent="0.2">
      <c r="A2743" s="78">
        <f ca="1">IFERROR(__xludf.DUMMYFUNCTION("""COMPUTED_VALUE"""),10160363)</f>
        <v>10160363</v>
      </c>
      <c r="B2743" s="78" t="str">
        <f ca="1">IFERROR(__xludf.DUMMYFUNCTION("""COMPUTED_VALUE"""),"Flex MAin Samsung S20 Ultra")</f>
        <v>Flex MAin Samsung S20 Ultra</v>
      </c>
      <c r="C2743" s="79">
        <f ca="1">IFERROR(__xludf.DUMMYFUNCTION("""COMPUTED_VALUE"""),100)</f>
        <v>100</v>
      </c>
      <c r="D2743" s="79">
        <f ca="1">IFERROR(__xludf.DUMMYFUNCTION("""COMPUTED_VALUE"""),50)</f>
        <v>50</v>
      </c>
      <c r="E2743" s="80">
        <f ca="1">IFERROR(__xludf.DUMMYFUNCTION("""COMPUTED_VALUE"""),150)</f>
        <v>150</v>
      </c>
      <c r="F2743" s="77">
        <f ca="1">IFERROR(__xludf.DUMMYFUNCTION("""COMPUTED_VALUE"""),10160363)</f>
        <v>10160363</v>
      </c>
      <c r="G2743" s="77"/>
    </row>
    <row r="2744" spans="1:7" ht="12.75" x14ac:dyDescent="0.2">
      <c r="A2744" s="78">
        <f ca="1">IFERROR(__xludf.DUMMYFUNCTION("""COMPUTED_VALUE"""),10160364)</f>
        <v>10160364</v>
      </c>
      <c r="B2744" s="78" t="str">
        <f ca="1">IFERROR(__xludf.DUMMYFUNCTION("""COMPUTED_VALUE"""),"Flex MAin Samsung A80")</f>
        <v>Flex MAin Samsung A80</v>
      </c>
      <c r="C2744" s="79">
        <f ca="1">IFERROR(__xludf.DUMMYFUNCTION("""COMPUTED_VALUE"""),50)</f>
        <v>50</v>
      </c>
      <c r="D2744" s="79">
        <f ca="1">IFERROR(__xludf.DUMMYFUNCTION("""COMPUTED_VALUE"""),50)</f>
        <v>50</v>
      </c>
      <c r="E2744" s="80">
        <f ca="1">IFERROR(__xludf.DUMMYFUNCTION("""COMPUTED_VALUE"""),100)</f>
        <v>100</v>
      </c>
      <c r="F2744" s="77">
        <f ca="1">IFERROR(__xludf.DUMMYFUNCTION("""COMPUTED_VALUE"""),10160364)</f>
        <v>10160364</v>
      </c>
      <c r="G2744" s="77"/>
    </row>
    <row r="2745" spans="1:7" ht="12.75" x14ac:dyDescent="0.2">
      <c r="A2745" s="78">
        <f ca="1">IFERROR(__xludf.DUMMYFUNCTION("""COMPUTED_VALUE"""),10160365)</f>
        <v>10160365</v>
      </c>
      <c r="B2745" s="78" t="str">
        <f ca="1">IFERROR(__xludf.DUMMYFUNCTION("""COMPUTED_VALUE"""),"Flex MAin Samsung A50")</f>
        <v>Flex MAin Samsung A50</v>
      </c>
      <c r="C2745" s="79">
        <f ca="1">IFERROR(__xludf.DUMMYFUNCTION("""COMPUTED_VALUE"""),40)</f>
        <v>40</v>
      </c>
      <c r="D2745" s="79">
        <f ca="1">IFERROR(__xludf.DUMMYFUNCTION("""COMPUTED_VALUE"""),50)</f>
        <v>50</v>
      </c>
      <c r="E2745" s="80">
        <f ca="1">IFERROR(__xludf.DUMMYFUNCTION("""COMPUTED_VALUE"""),90)</f>
        <v>90</v>
      </c>
      <c r="F2745" s="77">
        <f ca="1">IFERROR(__xludf.DUMMYFUNCTION("""COMPUTED_VALUE"""),10160365)</f>
        <v>10160365</v>
      </c>
      <c r="G2745" s="77"/>
    </row>
    <row r="2746" spans="1:7" ht="12.75" x14ac:dyDescent="0.2">
      <c r="A2746" s="78">
        <f ca="1">IFERROR(__xludf.DUMMYFUNCTION("""COMPUTED_VALUE"""),10160366)</f>
        <v>10160366</v>
      </c>
      <c r="B2746" s="78" t="str">
        <f ca="1">IFERROR(__xludf.DUMMYFUNCTION("""COMPUTED_VALUE"""),"Flex MAin Samsung A70")</f>
        <v>Flex MAin Samsung A70</v>
      </c>
      <c r="C2746" s="79">
        <f ca="1">IFERROR(__xludf.DUMMYFUNCTION("""COMPUTED_VALUE"""),50)</f>
        <v>50</v>
      </c>
      <c r="D2746" s="79">
        <f ca="1">IFERROR(__xludf.DUMMYFUNCTION("""COMPUTED_VALUE"""),50)</f>
        <v>50</v>
      </c>
      <c r="E2746" s="80">
        <f ca="1">IFERROR(__xludf.DUMMYFUNCTION("""COMPUTED_VALUE"""),100)</f>
        <v>100</v>
      </c>
      <c r="F2746" s="77">
        <f ca="1">IFERROR(__xludf.DUMMYFUNCTION("""COMPUTED_VALUE"""),10160366)</f>
        <v>10160366</v>
      </c>
      <c r="G2746" s="77"/>
    </row>
    <row r="2747" spans="1:7" ht="12.75" x14ac:dyDescent="0.2">
      <c r="A2747" s="78">
        <f ca="1">IFERROR(__xludf.DUMMYFUNCTION("""COMPUTED_VALUE"""),10010543)</f>
        <v>10010543</v>
      </c>
      <c r="B2747" s="78" t="str">
        <f ca="1">IFERROR(__xludf.DUMMYFUNCTION("""COMPUTED_VALUE"""),"LCD IPAD Air 5  2022 + Tactil")</f>
        <v>LCD IPAD Air 5  2022 + Tactil</v>
      </c>
      <c r="C2747" s="79">
        <f ca="1">IFERROR(__xludf.DUMMYFUNCTION("""COMPUTED_VALUE"""),890)</f>
        <v>890</v>
      </c>
      <c r="D2747" s="79">
        <f ca="1">IFERROR(__xludf.DUMMYFUNCTION("""COMPUTED_VALUE"""),100)</f>
        <v>100</v>
      </c>
      <c r="E2747" s="80">
        <f ca="1">IFERROR(__xludf.DUMMYFUNCTION("""COMPUTED_VALUE"""),990)</f>
        <v>990</v>
      </c>
      <c r="F2747" s="77">
        <f ca="1">IFERROR(__xludf.DUMMYFUNCTION("""COMPUTED_VALUE"""),10010543)</f>
        <v>10010543</v>
      </c>
      <c r="G2747" s="77"/>
    </row>
    <row r="2748" spans="1:7" ht="12.75" x14ac:dyDescent="0.2">
      <c r="A2748" s="78">
        <f ca="1">IFERROR(__xludf.DUMMYFUNCTION("""COMPUTED_VALUE"""),10010544)</f>
        <v>10010544</v>
      </c>
      <c r="B2748" s="78" t="str">
        <f ca="1">IFERROR(__xludf.DUMMYFUNCTION("""COMPUTED_VALUE"""),"Pantalla Xiaomi Poco F4")</f>
        <v>Pantalla Xiaomi Poco F4</v>
      </c>
      <c r="C2748" s="79">
        <f ca="1">IFERROR(__xludf.DUMMYFUNCTION("""COMPUTED_VALUE"""),260)</f>
        <v>260</v>
      </c>
      <c r="D2748" s="79">
        <f ca="1">IFERROR(__xludf.DUMMYFUNCTION("""COMPUTED_VALUE"""),100)</f>
        <v>100</v>
      </c>
      <c r="E2748" s="80">
        <f ca="1">IFERROR(__xludf.DUMMYFUNCTION("""COMPUTED_VALUE"""),360)</f>
        <v>360</v>
      </c>
      <c r="F2748" s="77">
        <f ca="1">IFERROR(__xludf.DUMMYFUNCTION("""COMPUTED_VALUE"""),10010544)</f>
        <v>10010544</v>
      </c>
      <c r="G2748" s="77"/>
    </row>
    <row r="2749" spans="1:7" ht="12.75" x14ac:dyDescent="0.2">
      <c r="A2749" s="78">
        <f ca="1">IFERROR(__xludf.DUMMYFUNCTION("""COMPUTED_VALUE"""),10010546)</f>
        <v>10010546</v>
      </c>
      <c r="B2749" s="78" t="str">
        <f ca="1">IFERROR(__xludf.DUMMYFUNCTION("""COMPUTED_VALUE"""),"Pantalla Z Fold 2 EXTERNA ")</f>
        <v xml:space="preserve">Pantalla Z Fold 2 EXTERNA </v>
      </c>
      <c r="C2749" s="79">
        <f ca="1">IFERROR(__xludf.DUMMYFUNCTION("""COMPUTED_VALUE"""),1000)</f>
        <v>1000</v>
      </c>
      <c r="D2749" s="79">
        <f ca="1">IFERROR(__xludf.DUMMYFUNCTION("""COMPUTED_VALUE"""),200)</f>
        <v>200</v>
      </c>
      <c r="E2749" s="80">
        <f ca="1">IFERROR(__xludf.DUMMYFUNCTION("""COMPUTED_VALUE"""),1200)</f>
        <v>1200</v>
      </c>
      <c r="F2749" s="77">
        <f ca="1">IFERROR(__xludf.DUMMYFUNCTION("""COMPUTED_VALUE"""),10010546)</f>
        <v>10010546</v>
      </c>
      <c r="G2749" s="77"/>
    </row>
    <row r="2750" spans="1:7" ht="12.75" x14ac:dyDescent="0.2">
      <c r="A2750" s="78">
        <f ca="1">IFERROR(__xludf.DUMMYFUNCTION("""COMPUTED_VALUE"""),10010545)</f>
        <v>10010545</v>
      </c>
      <c r="B2750" s="78" t="str">
        <f ca="1">IFERROR(__xludf.DUMMYFUNCTION("""COMPUTED_VALUE"""),"Pantalla Samsung A34 5g con Marco")</f>
        <v>Pantalla Samsung A34 5g con Marco</v>
      </c>
      <c r="C2750" s="79">
        <f ca="1">IFERROR(__xludf.DUMMYFUNCTION("""COMPUTED_VALUE"""),490)</f>
        <v>490</v>
      </c>
      <c r="D2750" s="79">
        <f ca="1">IFERROR(__xludf.DUMMYFUNCTION("""COMPUTED_VALUE"""),100)</f>
        <v>100</v>
      </c>
      <c r="E2750" s="80">
        <f ca="1">IFERROR(__xludf.DUMMYFUNCTION("""COMPUTED_VALUE"""),590)</f>
        <v>590</v>
      </c>
      <c r="F2750" s="77">
        <f ca="1">IFERROR(__xludf.DUMMYFUNCTION("""COMPUTED_VALUE"""),10010545)</f>
        <v>10010545</v>
      </c>
      <c r="G2750" s="77"/>
    </row>
    <row r="2751" spans="1:7" ht="12.75" x14ac:dyDescent="0.2">
      <c r="A2751" s="78">
        <f ca="1">IFERROR(__xludf.DUMMYFUNCTION("""COMPUTED_VALUE"""),10010547)</f>
        <v>10010547</v>
      </c>
      <c r="B2751" s="78" t="str">
        <f ca="1">IFERROR(__xludf.DUMMYFUNCTION("""COMPUTED_VALUE"""),"Pantalla Samsung A04 4G")</f>
        <v>Pantalla Samsung A04 4G</v>
      </c>
      <c r="C2751" s="79">
        <f ca="1">IFERROR(__xludf.DUMMYFUNCTION("""COMPUTED_VALUE"""),120)</f>
        <v>120</v>
      </c>
      <c r="D2751" s="79">
        <f ca="1">IFERROR(__xludf.DUMMYFUNCTION("""COMPUTED_VALUE"""),50)</f>
        <v>50</v>
      </c>
      <c r="E2751" s="80">
        <f ca="1">IFERROR(__xludf.DUMMYFUNCTION("""COMPUTED_VALUE"""),170)</f>
        <v>170</v>
      </c>
      <c r="F2751" s="77">
        <f ca="1">IFERROR(__xludf.DUMMYFUNCTION("""COMPUTED_VALUE"""),10010547)</f>
        <v>10010547</v>
      </c>
      <c r="G2751" s="77"/>
    </row>
    <row r="2752" spans="1:7" ht="12.75" x14ac:dyDescent="0.2">
      <c r="A2752" s="78">
        <f ca="1">IFERROR(__xludf.DUMMYFUNCTION("""COMPUTED_VALUE"""),10130040)</f>
        <v>10130040</v>
      </c>
      <c r="B2752" s="78" t="str">
        <f ca="1">IFERROR(__xludf.DUMMYFUNCTION("""COMPUTED_VALUE"""),"IPAD 10MA Tactil")</f>
        <v>IPAD 10MA Tactil</v>
      </c>
      <c r="C2752" s="79">
        <f ca="1">IFERROR(__xludf.DUMMYFUNCTION("""COMPUTED_VALUE"""),120)</f>
        <v>120</v>
      </c>
      <c r="D2752" s="79">
        <f ca="1">IFERROR(__xludf.DUMMYFUNCTION("""COMPUTED_VALUE"""),80)</f>
        <v>80</v>
      </c>
      <c r="E2752" s="80">
        <f ca="1">IFERROR(__xludf.DUMMYFUNCTION("""COMPUTED_VALUE"""),200)</f>
        <v>200</v>
      </c>
      <c r="F2752" s="77">
        <f ca="1">IFERROR(__xludf.DUMMYFUNCTION("""COMPUTED_VALUE"""),10130040)</f>
        <v>10130040</v>
      </c>
      <c r="G2752" s="77"/>
    </row>
    <row r="2753" spans="1:7" ht="12.75" x14ac:dyDescent="0.2">
      <c r="A2753" s="78"/>
      <c r="B2753" s="78" t="str">
        <f ca="1">IFERROR(__xludf.DUMMYFUNCTION("""COMPUTED_VALUE"""),"Placa Samsung S21 Ultra 5g (G998U)")</f>
        <v>Placa Samsung S21 Ultra 5g (G998U)</v>
      </c>
      <c r="C2753" s="79">
        <f ca="1">IFERROR(__xludf.DUMMYFUNCTION("""COMPUTED_VALUE"""),1000)</f>
        <v>1000</v>
      </c>
      <c r="D2753" s="79">
        <f ca="1">IFERROR(__xludf.DUMMYFUNCTION("""COMPUTED_VALUE"""),190)</f>
        <v>190</v>
      </c>
      <c r="E2753" s="80">
        <f ca="1">IFERROR(__xludf.DUMMYFUNCTION("""COMPUTED_VALUE"""),1190)</f>
        <v>1190</v>
      </c>
      <c r="F2753" s="77"/>
      <c r="G2753" s="77"/>
    </row>
    <row r="2754" spans="1:7" ht="12.75" x14ac:dyDescent="0.2">
      <c r="A2754" s="78">
        <f ca="1">IFERROR(__xludf.DUMMYFUNCTION("""COMPUTED_VALUE"""),10020191)</f>
        <v>10020191</v>
      </c>
      <c r="B2754" s="78" t="str">
        <f ca="1">IFERROR(__xludf.DUMMYFUNCTION("""COMPUTED_VALUE"""),"Baterias Celulares Samsung Note 10 Lite")</f>
        <v>Baterias Celulares Samsung Note 10 Lite</v>
      </c>
      <c r="C2754" s="78"/>
      <c r="D2754" s="78"/>
      <c r="E2754" s="80">
        <f ca="1">IFERROR(__xludf.DUMMYFUNCTION("""COMPUTED_VALUE"""),0)</f>
        <v>0</v>
      </c>
      <c r="F2754" s="77">
        <f ca="1">IFERROR(__xludf.DUMMYFUNCTION("""COMPUTED_VALUE"""),10020191)</f>
        <v>10020191</v>
      </c>
      <c r="G2754" s="77"/>
    </row>
    <row r="2755" spans="1:7" ht="12.75" x14ac:dyDescent="0.2">
      <c r="A2755" s="78">
        <f ca="1">IFERROR(__xludf.DUMMYFUNCTION("""COMPUTED_VALUE"""),10020192)</f>
        <v>10020192</v>
      </c>
      <c r="B2755" s="78" t="str">
        <f ca="1">IFERROR(__xludf.DUMMYFUNCTION("""COMPUTED_VALUE"""),"Baterias Celulares Samsung Galaxy S22")</f>
        <v>Baterias Celulares Samsung Galaxy S22</v>
      </c>
      <c r="C2755" s="79">
        <f ca="1">IFERROR(__xludf.DUMMYFUNCTION("""COMPUTED_VALUE"""),400)</f>
        <v>400</v>
      </c>
      <c r="D2755" s="78"/>
      <c r="E2755" s="80">
        <f ca="1">IFERROR(__xludf.DUMMYFUNCTION("""COMPUTED_VALUE"""),400)</f>
        <v>400</v>
      </c>
      <c r="F2755" s="77">
        <f ca="1">IFERROR(__xludf.DUMMYFUNCTION("""COMPUTED_VALUE"""),10020192)</f>
        <v>10020192</v>
      </c>
      <c r="G2755" s="77"/>
    </row>
    <row r="2756" spans="1:7" ht="12.75" x14ac:dyDescent="0.2">
      <c r="A2756" s="78">
        <f ca="1">IFERROR(__xludf.DUMMYFUNCTION("""COMPUTED_VALUE"""),10020193)</f>
        <v>10020193</v>
      </c>
      <c r="B2756" s="78" t="str">
        <f ca="1">IFERROR(__xludf.DUMMYFUNCTION("""COMPUTED_VALUE"""),"Baterias Celulares Samsung A22 4G")</f>
        <v>Baterias Celulares Samsung A22 4G</v>
      </c>
      <c r="C2756" s="78"/>
      <c r="D2756" s="78"/>
      <c r="E2756" s="80">
        <f ca="1">IFERROR(__xludf.DUMMYFUNCTION("""COMPUTED_VALUE"""),0)</f>
        <v>0</v>
      </c>
      <c r="F2756" s="77">
        <f ca="1">IFERROR(__xludf.DUMMYFUNCTION("""COMPUTED_VALUE"""),10020193)</f>
        <v>10020193</v>
      </c>
      <c r="G2756" s="77"/>
    </row>
    <row r="2757" spans="1:7" ht="12.75" x14ac:dyDescent="0.2">
      <c r="A2757" s="78">
        <f ca="1">IFERROR(__xludf.DUMMYFUNCTION("""COMPUTED_VALUE"""),10020194)</f>
        <v>10020194</v>
      </c>
      <c r="B2757" s="78" t="str">
        <f ca="1">IFERROR(__xludf.DUMMYFUNCTION("""COMPUTED_VALUE"""),"Baterias Celulares Huawei P30")</f>
        <v>Baterias Celulares Huawei P30</v>
      </c>
      <c r="C2757" s="78"/>
      <c r="D2757" s="78"/>
      <c r="E2757" s="80">
        <f ca="1">IFERROR(__xludf.DUMMYFUNCTION("""COMPUTED_VALUE"""),0)</f>
        <v>0</v>
      </c>
      <c r="F2757" s="77">
        <f ca="1">IFERROR(__xludf.DUMMYFUNCTION("""COMPUTED_VALUE"""),10020194)</f>
        <v>10020194</v>
      </c>
      <c r="G2757" s="77"/>
    </row>
    <row r="2758" spans="1:7" ht="12.75" x14ac:dyDescent="0.2">
      <c r="A2758" s="78">
        <f ca="1">IFERROR(__xludf.DUMMYFUNCTION("""COMPUTED_VALUE"""),10020195)</f>
        <v>10020195</v>
      </c>
      <c r="B2758" s="78" t="str">
        <f ca="1">IFERROR(__xludf.DUMMYFUNCTION("""COMPUTED_VALUE"""),"Baterias Celulares Samsung Galaxy S22 plus")</f>
        <v>Baterias Celulares Samsung Galaxy S22 plus</v>
      </c>
      <c r="C2758" s="79">
        <f ca="1">IFERROR(__xludf.DUMMYFUNCTION("""COMPUTED_VALUE"""),450)</f>
        <v>450</v>
      </c>
      <c r="D2758" s="78"/>
      <c r="E2758" s="80">
        <f ca="1">IFERROR(__xludf.DUMMYFUNCTION("""COMPUTED_VALUE"""),450)</f>
        <v>450</v>
      </c>
      <c r="F2758" s="77">
        <f ca="1">IFERROR(__xludf.DUMMYFUNCTION("""COMPUTED_VALUE"""),10020195)</f>
        <v>10020195</v>
      </c>
      <c r="G2758" s="77"/>
    </row>
    <row r="2759" spans="1:7" ht="12.75" x14ac:dyDescent="0.2">
      <c r="A2759" s="78">
        <f ca="1">IFERROR(__xludf.DUMMYFUNCTION("""COMPUTED_VALUE"""),10020196)</f>
        <v>10020196</v>
      </c>
      <c r="B2759" s="78" t="str">
        <f ca="1">IFERROR(__xludf.DUMMYFUNCTION("""COMPUTED_VALUE"""),"Baterias Celulares Huawei Mate 20")</f>
        <v>Baterias Celulares Huawei Mate 20</v>
      </c>
      <c r="C2759" s="78"/>
      <c r="D2759" s="78"/>
      <c r="E2759" s="80">
        <f ca="1">IFERROR(__xludf.DUMMYFUNCTION("""COMPUTED_VALUE"""),0)</f>
        <v>0</v>
      </c>
      <c r="F2759" s="77">
        <f ca="1">IFERROR(__xludf.DUMMYFUNCTION("""COMPUTED_VALUE"""),10020196)</f>
        <v>10020196</v>
      </c>
      <c r="G2759" s="77"/>
    </row>
    <row r="2760" spans="1:7" ht="12.75" x14ac:dyDescent="0.2">
      <c r="A2760" s="78">
        <f ca="1">IFERROR(__xludf.DUMMYFUNCTION("""COMPUTED_VALUE"""),10020197)</f>
        <v>10020197</v>
      </c>
      <c r="B2760" s="78" t="str">
        <f ca="1">IFERROR(__xludf.DUMMYFUNCTION("""COMPUTED_VALUE"""),"Baterias Celulares Samsung A22 5G")</f>
        <v>Baterias Celulares Samsung A22 5G</v>
      </c>
      <c r="C2760" s="78"/>
      <c r="D2760" s="78"/>
      <c r="E2760" s="80">
        <f ca="1">IFERROR(__xludf.DUMMYFUNCTION("""COMPUTED_VALUE"""),0)</f>
        <v>0</v>
      </c>
      <c r="F2760" s="77">
        <f ca="1">IFERROR(__xludf.DUMMYFUNCTION("""COMPUTED_VALUE"""),10020197)</f>
        <v>10020197</v>
      </c>
      <c r="G2760" s="77"/>
    </row>
    <row r="2761" spans="1:7" ht="12.75" x14ac:dyDescent="0.2">
      <c r="A2761" s="78">
        <f ca="1">IFERROR(__xludf.DUMMYFUNCTION("""COMPUTED_VALUE"""),10020198)</f>
        <v>10020198</v>
      </c>
      <c r="B2761" s="78" t="str">
        <f ca="1">IFERROR(__xludf.DUMMYFUNCTION("""COMPUTED_VALUE"""),"Baterias Celulares Samsung A52S 5G")</f>
        <v>Baterias Celulares Samsung A52S 5G</v>
      </c>
      <c r="C2761" s="79">
        <f ca="1">IFERROR(__xludf.DUMMYFUNCTION("""COMPUTED_VALUE"""),100)</f>
        <v>100</v>
      </c>
      <c r="D2761" s="79">
        <f ca="1">IFERROR(__xludf.DUMMYFUNCTION("""COMPUTED_VALUE"""),90)</f>
        <v>90</v>
      </c>
      <c r="E2761" s="80">
        <f ca="1">IFERROR(__xludf.DUMMYFUNCTION("""COMPUTED_VALUE"""),190)</f>
        <v>190</v>
      </c>
      <c r="F2761" s="77">
        <f ca="1">IFERROR(__xludf.DUMMYFUNCTION("""COMPUTED_VALUE"""),10020198)</f>
        <v>10020198</v>
      </c>
      <c r="G2761" s="77"/>
    </row>
    <row r="2762" spans="1:7" ht="12.75" x14ac:dyDescent="0.2">
      <c r="A2762" s="78">
        <f ca="1">IFERROR(__xludf.DUMMYFUNCTION("""COMPUTED_VALUE"""),10020199)</f>
        <v>10020199</v>
      </c>
      <c r="B2762" s="78" t="str">
        <f ca="1">IFERROR(__xludf.DUMMYFUNCTION("""COMPUTED_VALUE"""),"Baterias Celulares Huawei P40")</f>
        <v>Baterias Celulares Huawei P40</v>
      </c>
      <c r="C2762" s="78"/>
      <c r="D2762" s="78"/>
      <c r="E2762" s="80">
        <f ca="1">IFERROR(__xludf.DUMMYFUNCTION("""COMPUTED_VALUE"""),0)</f>
        <v>0</v>
      </c>
      <c r="F2762" s="77">
        <f ca="1">IFERROR(__xludf.DUMMYFUNCTION("""COMPUTED_VALUE"""),10020199)</f>
        <v>10020199</v>
      </c>
      <c r="G2762" s="77"/>
    </row>
    <row r="2763" spans="1:7" ht="12.75" x14ac:dyDescent="0.2">
      <c r="A2763" s="78">
        <f ca="1">IFERROR(__xludf.DUMMYFUNCTION("""COMPUTED_VALUE"""),10020200)</f>
        <v>10020200</v>
      </c>
      <c r="B2763" s="78" t="str">
        <f ca="1">IFERROR(__xludf.DUMMYFUNCTION("""COMPUTED_VALUE"""),"Baterias Celulares Huawei P40 Lite")</f>
        <v>Baterias Celulares Huawei P40 Lite</v>
      </c>
      <c r="C2763" s="78"/>
      <c r="D2763" s="78"/>
      <c r="E2763" s="80">
        <f ca="1">IFERROR(__xludf.DUMMYFUNCTION("""COMPUTED_VALUE"""),0)</f>
        <v>0</v>
      </c>
      <c r="F2763" s="77">
        <f ca="1">IFERROR(__xludf.DUMMYFUNCTION("""COMPUTED_VALUE"""),10020200)</f>
        <v>10020200</v>
      </c>
      <c r="G2763" s="77"/>
    </row>
    <row r="2764" spans="1:7" ht="12.75" x14ac:dyDescent="0.2">
      <c r="A2764" s="78">
        <f ca="1">IFERROR(__xludf.DUMMYFUNCTION("""COMPUTED_VALUE"""),10160387)</f>
        <v>10160387</v>
      </c>
      <c r="B2764" s="78" t="str">
        <f ca="1">IFERROR(__xludf.DUMMYFUNCTION("""COMPUTED_VALUE"""),"Camara Glass Lens iphone 14")</f>
        <v>Camara Glass Lens iphone 14</v>
      </c>
      <c r="C2764" s="79">
        <f ca="1">IFERROR(__xludf.DUMMYFUNCTION("""COMPUTED_VALUE"""),300)</f>
        <v>300</v>
      </c>
      <c r="D2764" s="79">
        <f ca="1">IFERROR(__xludf.DUMMYFUNCTION("""COMPUTED_VALUE"""),50)</f>
        <v>50</v>
      </c>
      <c r="E2764" s="80">
        <f ca="1">IFERROR(__xludf.DUMMYFUNCTION("""COMPUTED_VALUE"""),350)</f>
        <v>350</v>
      </c>
      <c r="F2764" s="77">
        <f ca="1">IFERROR(__xludf.DUMMYFUNCTION("""COMPUTED_VALUE"""),10160387)</f>
        <v>10160387</v>
      </c>
      <c r="G2764" s="77"/>
    </row>
    <row r="2765" spans="1:7" ht="12.75" x14ac:dyDescent="0.2">
      <c r="A2765" s="78">
        <f ca="1">IFERROR(__xludf.DUMMYFUNCTION("""COMPUTED_VALUE"""),10160388)</f>
        <v>10160388</v>
      </c>
      <c r="B2765" s="78" t="str">
        <f ca="1">IFERROR(__xludf.DUMMYFUNCTION("""COMPUTED_VALUE"""),"Camara Glass Lens iphone 14 Pro")</f>
        <v>Camara Glass Lens iphone 14 Pro</v>
      </c>
      <c r="C2765" s="79">
        <f ca="1">IFERROR(__xludf.DUMMYFUNCTION("""COMPUTED_VALUE"""),300)</f>
        <v>300</v>
      </c>
      <c r="D2765" s="79">
        <f ca="1">IFERROR(__xludf.DUMMYFUNCTION("""COMPUTED_VALUE"""),50)</f>
        <v>50</v>
      </c>
      <c r="E2765" s="80">
        <f ca="1">IFERROR(__xludf.DUMMYFUNCTION("""COMPUTED_VALUE"""),350)</f>
        <v>350</v>
      </c>
      <c r="F2765" s="77">
        <f ca="1">IFERROR(__xludf.DUMMYFUNCTION("""COMPUTED_VALUE"""),10160388)</f>
        <v>10160388</v>
      </c>
      <c r="G2765" s="77"/>
    </row>
    <row r="2766" spans="1:7" ht="12.75" x14ac:dyDescent="0.2">
      <c r="A2766" s="78">
        <f ca="1">IFERROR(__xludf.DUMMYFUNCTION("""COMPUTED_VALUE"""),10160389)</f>
        <v>10160389</v>
      </c>
      <c r="B2766" s="78" t="str">
        <f ca="1">IFERROR(__xludf.DUMMYFUNCTION("""COMPUTED_VALUE"""),"Camara Glass Lens iphone 14 Pro Max ")</f>
        <v xml:space="preserve">Camara Glass Lens iphone 14 Pro Max </v>
      </c>
      <c r="C2766" s="79">
        <f ca="1">IFERROR(__xludf.DUMMYFUNCTION("""COMPUTED_VALUE"""),300)</f>
        <v>300</v>
      </c>
      <c r="D2766" s="79">
        <f ca="1">IFERROR(__xludf.DUMMYFUNCTION("""COMPUTED_VALUE"""),50)</f>
        <v>50</v>
      </c>
      <c r="E2766" s="80">
        <f ca="1">IFERROR(__xludf.DUMMYFUNCTION("""COMPUTED_VALUE"""),350)</f>
        <v>350</v>
      </c>
      <c r="F2766" s="77">
        <f ca="1">IFERROR(__xludf.DUMMYFUNCTION("""COMPUTED_VALUE"""),10160389)</f>
        <v>10160389</v>
      </c>
      <c r="G2766" s="77"/>
    </row>
    <row r="2767" spans="1:7" ht="12.75" x14ac:dyDescent="0.2">
      <c r="A2767" s="78"/>
      <c r="B2767" s="78" t="str">
        <f ca="1">IFERROR(__xludf.DUMMYFUNCTION("""COMPUTED_VALUE"""),"Bateria de Laptop Asus X540")</f>
        <v>Bateria de Laptop Asus X540</v>
      </c>
      <c r="C2767" s="79">
        <f ca="1">IFERROR(__xludf.DUMMYFUNCTION("""COMPUTED_VALUE"""),130)</f>
        <v>130</v>
      </c>
      <c r="D2767" s="78"/>
      <c r="E2767" s="80">
        <f ca="1">IFERROR(__xludf.DUMMYFUNCTION("""COMPUTED_VALUE"""),130)</f>
        <v>130</v>
      </c>
      <c r="F2767" s="77"/>
      <c r="G2767" s="77"/>
    </row>
    <row r="2768" spans="1:7" ht="12.75" x14ac:dyDescent="0.2">
      <c r="A2768" s="78">
        <f ca="1">IFERROR(__xludf.DUMMYFUNCTION("""COMPUTED_VALUE"""),10010548)</f>
        <v>10010548</v>
      </c>
      <c r="B2768" s="78" t="str">
        <f ca="1">IFERROR(__xludf.DUMMYFUNCTION("""COMPUTED_VALUE"""),"Pantalla Realme C21Y / C25Y")</f>
        <v>Pantalla Realme C21Y / C25Y</v>
      </c>
      <c r="C2768" s="79">
        <f ca="1">IFERROR(__xludf.DUMMYFUNCTION("""COMPUTED_VALUE"""),180)</f>
        <v>180</v>
      </c>
      <c r="D2768" s="79">
        <f ca="1">IFERROR(__xludf.DUMMYFUNCTION("""COMPUTED_VALUE"""),50)</f>
        <v>50</v>
      </c>
      <c r="E2768" s="80">
        <f ca="1">IFERROR(__xludf.DUMMYFUNCTION("""COMPUTED_VALUE"""),230)</f>
        <v>230</v>
      </c>
      <c r="F2768" s="77">
        <f ca="1">IFERROR(__xludf.DUMMYFUNCTION("""COMPUTED_VALUE"""),10010548)</f>
        <v>10010548</v>
      </c>
      <c r="G2768" s="77"/>
    </row>
    <row r="2769" spans="1:7" ht="12.75" x14ac:dyDescent="0.2">
      <c r="A2769" s="78">
        <f ca="1">IFERROR(__xludf.DUMMYFUNCTION("""COMPUTED_VALUE"""),10160367)</f>
        <v>10160367</v>
      </c>
      <c r="B2769" s="78" t="str">
        <f ca="1">IFERROR(__xludf.DUMMYFUNCTION("""COMPUTED_VALUE"""),"Flex Main Samsung A33")</f>
        <v>Flex Main Samsung A33</v>
      </c>
      <c r="C2769" s="79">
        <f ca="1">IFERROR(__xludf.DUMMYFUNCTION("""COMPUTED_VALUE"""),150)</f>
        <v>150</v>
      </c>
      <c r="D2769" s="78"/>
      <c r="E2769" s="80">
        <f ca="1">IFERROR(__xludf.DUMMYFUNCTION("""COMPUTED_VALUE"""),150)</f>
        <v>150</v>
      </c>
      <c r="F2769" s="77">
        <f ca="1">IFERROR(__xludf.DUMMYFUNCTION("""COMPUTED_VALUE"""),10160367)</f>
        <v>10160367</v>
      </c>
      <c r="G2769" s="77"/>
    </row>
    <row r="2770" spans="1:7" ht="12.75" x14ac:dyDescent="0.2">
      <c r="A2770" s="78">
        <f ca="1">IFERROR(__xludf.DUMMYFUNCTION("""COMPUTED_VALUE"""),10160368)</f>
        <v>10160368</v>
      </c>
      <c r="B2770" s="78" t="str">
        <f ca="1">IFERROR(__xludf.DUMMYFUNCTION("""COMPUTED_VALUE"""),"Auricular Samsung A52 5g")</f>
        <v>Auricular Samsung A52 5g</v>
      </c>
      <c r="C2770" s="79">
        <f ca="1">IFERROR(__xludf.DUMMYFUNCTION("""COMPUTED_VALUE"""),100)</f>
        <v>100</v>
      </c>
      <c r="D2770" s="78"/>
      <c r="E2770" s="80">
        <f ca="1">IFERROR(__xludf.DUMMYFUNCTION("""COMPUTED_VALUE"""),100)</f>
        <v>100</v>
      </c>
      <c r="F2770" s="77">
        <f ca="1">IFERROR(__xludf.DUMMYFUNCTION("""COMPUTED_VALUE"""),10160368)</f>
        <v>10160368</v>
      </c>
      <c r="G2770" s="77"/>
    </row>
    <row r="2771" spans="1:7" ht="12.75" x14ac:dyDescent="0.2">
      <c r="A2771" s="78">
        <f ca="1">IFERROR(__xludf.DUMMYFUNCTION("""COMPUTED_VALUE"""),10160369)</f>
        <v>10160369</v>
      </c>
      <c r="B2771" s="78" t="str">
        <f ca="1">IFERROR(__xludf.DUMMYFUNCTION("""COMPUTED_VALUE"""),"Flex Main Samsung A72 5g")</f>
        <v>Flex Main Samsung A72 5g</v>
      </c>
      <c r="C2771" s="79">
        <f ca="1">IFERROR(__xludf.DUMMYFUNCTION("""COMPUTED_VALUE"""),100)</f>
        <v>100</v>
      </c>
      <c r="D2771" s="78"/>
      <c r="E2771" s="80">
        <f ca="1">IFERROR(__xludf.DUMMYFUNCTION("""COMPUTED_VALUE"""),100)</f>
        <v>100</v>
      </c>
      <c r="F2771" s="77">
        <f ca="1">IFERROR(__xludf.DUMMYFUNCTION("""COMPUTED_VALUE"""),10160369)</f>
        <v>10160369</v>
      </c>
      <c r="G2771" s="77"/>
    </row>
    <row r="2772" spans="1:7" ht="12.75" x14ac:dyDescent="0.2">
      <c r="A2772" s="78">
        <f ca="1">IFERROR(__xludf.DUMMYFUNCTION("""COMPUTED_VALUE"""),10160370)</f>
        <v>10160370</v>
      </c>
      <c r="B2772" s="78" t="str">
        <f ca="1">IFERROR(__xludf.DUMMYFUNCTION("""COMPUTED_VALUE"""),"Auricular Samsung A53")</f>
        <v>Auricular Samsung A53</v>
      </c>
      <c r="C2772" s="79">
        <f ca="1">IFERROR(__xludf.DUMMYFUNCTION("""COMPUTED_VALUE"""),80)</f>
        <v>80</v>
      </c>
      <c r="D2772" s="78"/>
      <c r="E2772" s="80">
        <f ca="1">IFERROR(__xludf.DUMMYFUNCTION("""COMPUTED_VALUE"""),80)</f>
        <v>80</v>
      </c>
      <c r="F2772" s="77">
        <f ca="1">IFERROR(__xludf.DUMMYFUNCTION("""COMPUTED_VALUE"""),10160370)</f>
        <v>10160370</v>
      </c>
      <c r="G2772" s="77"/>
    </row>
    <row r="2773" spans="1:7" ht="12.75" x14ac:dyDescent="0.2">
      <c r="A2773" s="78">
        <f ca="1">IFERROR(__xludf.DUMMYFUNCTION("""COMPUTED_VALUE"""),10160371)</f>
        <v>10160371</v>
      </c>
      <c r="B2773" s="78" t="str">
        <f ca="1">IFERROR(__xludf.DUMMYFUNCTION("""COMPUTED_VALUE"""),"Auricular Samsung A51")</f>
        <v>Auricular Samsung A51</v>
      </c>
      <c r="C2773" s="79">
        <f ca="1">IFERROR(__xludf.DUMMYFUNCTION("""COMPUTED_VALUE"""),80)</f>
        <v>80</v>
      </c>
      <c r="D2773" s="78"/>
      <c r="E2773" s="80">
        <f ca="1">IFERROR(__xludf.DUMMYFUNCTION("""COMPUTED_VALUE"""),80)</f>
        <v>80</v>
      </c>
      <c r="F2773" s="77">
        <f ca="1">IFERROR(__xludf.DUMMYFUNCTION("""COMPUTED_VALUE"""),10160371)</f>
        <v>10160371</v>
      </c>
      <c r="G2773" s="77"/>
    </row>
    <row r="2774" spans="1:7" ht="12.75" x14ac:dyDescent="0.2">
      <c r="A2774" s="78">
        <f ca="1">IFERROR(__xludf.DUMMYFUNCTION("""COMPUTED_VALUE"""),10160372)</f>
        <v>10160372</v>
      </c>
      <c r="B2774" s="78" t="str">
        <f ca="1">IFERROR(__xludf.DUMMYFUNCTION("""COMPUTED_VALUE"""),"Flex Main Samsung A51")</f>
        <v>Flex Main Samsung A51</v>
      </c>
      <c r="C2774" s="79">
        <f ca="1">IFERROR(__xludf.DUMMYFUNCTION("""COMPUTED_VALUE"""),120)</f>
        <v>120</v>
      </c>
      <c r="D2774" s="78"/>
      <c r="E2774" s="80">
        <f ca="1">IFERROR(__xludf.DUMMYFUNCTION("""COMPUTED_VALUE"""),120)</f>
        <v>120</v>
      </c>
      <c r="F2774" s="77">
        <f ca="1">IFERROR(__xludf.DUMMYFUNCTION("""COMPUTED_VALUE"""),10160372)</f>
        <v>10160372</v>
      </c>
      <c r="G2774" s="77"/>
    </row>
    <row r="2775" spans="1:7" ht="12.75" x14ac:dyDescent="0.2">
      <c r="A2775" s="78">
        <f ca="1">IFERROR(__xludf.DUMMYFUNCTION("""COMPUTED_VALUE"""),10160373)</f>
        <v>10160373</v>
      </c>
      <c r="B2775" s="78" t="str">
        <f ca="1">IFERROR(__xludf.DUMMYFUNCTION("""COMPUTED_VALUE"""),"Flex Main Xiaomi Mi 10T /  Mi 10T pro")</f>
        <v>Flex Main Xiaomi Mi 10T /  Mi 10T pro</v>
      </c>
      <c r="C2775" s="79">
        <f ca="1">IFERROR(__xludf.DUMMYFUNCTION("""COMPUTED_VALUE"""),100)</f>
        <v>100</v>
      </c>
      <c r="D2775" s="78"/>
      <c r="E2775" s="80">
        <f ca="1">IFERROR(__xludf.DUMMYFUNCTION("""COMPUTED_VALUE"""),100)</f>
        <v>100</v>
      </c>
      <c r="F2775" s="77">
        <f ca="1">IFERROR(__xludf.DUMMYFUNCTION("""COMPUTED_VALUE"""),10160373)</f>
        <v>10160373</v>
      </c>
      <c r="G2775" s="77"/>
    </row>
    <row r="2776" spans="1:7" ht="12.75" x14ac:dyDescent="0.2">
      <c r="A2776" s="78">
        <f ca="1">IFERROR(__xludf.DUMMYFUNCTION("""COMPUTED_VALUE"""),10160374)</f>
        <v>10160374</v>
      </c>
      <c r="B2776" s="78" t="str">
        <f ca="1">IFERROR(__xludf.DUMMYFUNCTION("""COMPUTED_VALUE"""),"Flex Main Xiaomi Mi 11")</f>
        <v>Flex Main Xiaomi Mi 11</v>
      </c>
      <c r="C2776" s="79">
        <f ca="1">IFERROR(__xludf.DUMMYFUNCTION("""COMPUTED_VALUE"""),100)</f>
        <v>100</v>
      </c>
      <c r="D2776" s="78"/>
      <c r="E2776" s="80">
        <f ca="1">IFERROR(__xludf.DUMMYFUNCTION("""COMPUTED_VALUE"""),100)</f>
        <v>100</v>
      </c>
      <c r="F2776" s="77">
        <f ca="1">IFERROR(__xludf.DUMMYFUNCTION("""COMPUTED_VALUE"""),10160374)</f>
        <v>10160374</v>
      </c>
      <c r="G2776" s="77"/>
    </row>
    <row r="2777" spans="1:7" ht="12.75" x14ac:dyDescent="0.2">
      <c r="A2777" s="78">
        <f ca="1">IFERROR(__xludf.DUMMYFUNCTION("""COMPUTED_VALUE"""),10160375)</f>
        <v>10160375</v>
      </c>
      <c r="B2777" s="78" t="str">
        <f ca="1">IFERROR(__xludf.DUMMYFUNCTION("""COMPUTED_VALUE"""),"Flex Main Xiaomi Mi 11 Ultra")</f>
        <v>Flex Main Xiaomi Mi 11 Ultra</v>
      </c>
      <c r="C2777" s="79">
        <f ca="1">IFERROR(__xludf.DUMMYFUNCTION("""COMPUTED_VALUE"""),200)</f>
        <v>200</v>
      </c>
      <c r="D2777" s="78"/>
      <c r="E2777" s="80">
        <f ca="1">IFERROR(__xludf.DUMMYFUNCTION("""COMPUTED_VALUE"""),200)</f>
        <v>200</v>
      </c>
      <c r="F2777" s="77">
        <f ca="1">IFERROR(__xludf.DUMMYFUNCTION("""COMPUTED_VALUE"""),10160375)</f>
        <v>10160375</v>
      </c>
      <c r="G2777" s="77"/>
    </row>
    <row r="2778" spans="1:7" ht="12.75" x14ac:dyDescent="0.2">
      <c r="A2778" s="78">
        <f ca="1">IFERROR(__xludf.DUMMYFUNCTION("""COMPUTED_VALUE"""),10160376)</f>
        <v>10160376</v>
      </c>
      <c r="B2778" s="78" t="str">
        <f ca="1">IFERROR(__xludf.DUMMYFUNCTION("""COMPUTED_VALUE"""),"Puerto de Carga Xiaomi Mi 11 Ultra")</f>
        <v>Puerto de Carga Xiaomi Mi 11 Ultra</v>
      </c>
      <c r="C2778" s="79">
        <f ca="1">IFERROR(__xludf.DUMMYFUNCTION("""COMPUTED_VALUE"""),250)</f>
        <v>250</v>
      </c>
      <c r="D2778" s="78"/>
      <c r="E2778" s="80">
        <f ca="1">IFERROR(__xludf.DUMMYFUNCTION("""COMPUTED_VALUE"""),250)</f>
        <v>250</v>
      </c>
      <c r="F2778" s="77">
        <f ca="1">IFERROR(__xludf.DUMMYFUNCTION("""COMPUTED_VALUE"""),10160376)</f>
        <v>10160376</v>
      </c>
      <c r="G2778" s="77"/>
    </row>
    <row r="2779" spans="1:7" ht="12.75" x14ac:dyDescent="0.2">
      <c r="A2779" s="78">
        <f ca="1">IFERROR(__xludf.DUMMYFUNCTION("""COMPUTED_VALUE"""),10160377)</f>
        <v>10160377</v>
      </c>
      <c r="B2779" s="78" t="str">
        <f ca="1">IFERROR(__xludf.DUMMYFUNCTION("""COMPUTED_VALUE"""),"Auricular Samsung A33 5g")</f>
        <v>Auricular Samsung A33 5g</v>
      </c>
      <c r="C2779" s="79">
        <f ca="1">IFERROR(__xludf.DUMMYFUNCTION("""COMPUTED_VALUE"""),120)</f>
        <v>120</v>
      </c>
      <c r="D2779" s="78"/>
      <c r="E2779" s="80">
        <f ca="1">IFERROR(__xludf.DUMMYFUNCTION("""COMPUTED_VALUE"""),120)</f>
        <v>120</v>
      </c>
      <c r="F2779" s="77">
        <f ca="1">IFERROR(__xludf.DUMMYFUNCTION("""COMPUTED_VALUE"""),10160377)</f>
        <v>10160377</v>
      </c>
      <c r="G2779" s="77"/>
    </row>
    <row r="2780" spans="1:7" ht="12.75" x14ac:dyDescent="0.2">
      <c r="A2780" s="78">
        <f ca="1">IFERROR(__xludf.DUMMYFUNCTION("""COMPUTED_VALUE"""),10160378)</f>
        <v>10160378</v>
      </c>
      <c r="B2780" s="78" t="str">
        <f ca="1">IFERROR(__xludf.DUMMYFUNCTION("""COMPUTED_VALUE"""),"Parlante (Alta voz) Samsung A33 5g")</f>
        <v>Parlante (Alta voz) Samsung A33 5g</v>
      </c>
      <c r="C2780" s="79">
        <f ca="1">IFERROR(__xludf.DUMMYFUNCTION("""COMPUTED_VALUE"""),130)</f>
        <v>130</v>
      </c>
      <c r="D2780" s="78"/>
      <c r="E2780" s="80">
        <f ca="1">IFERROR(__xludf.DUMMYFUNCTION("""COMPUTED_VALUE"""),130)</f>
        <v>130</v>
      </c>
      <c r="F2780" s="77">
        <f ca="1">IFERROR(__xludf.DUMMYFUNCTION("""COMPUTED_VALUE"""),10160378)</f>
        <v>10160378</v>
      </c>
      <c r="G2780" s="77"/>
    </row>
    <row r="2781" spans="1:7" ht="12.75" x14ac:dyDescent="0.2">
      <c r="A2781" s="78">
        <f ca="1">IFERROR(__xludf.DUMMYFUNCTION("""COMPUTED_VALUE"""),10160379)</f>
        <v>10160379</v>
      </c>
      <c r="B2781" s="78" t="str">
        <f ca="1">IFERROR(__xludf.DUMMYFUNCTION("""COMPUTED_VALUE"""),"Flex Main Xiaomi Mi 9T")</f>
        <v>Flex Main Xiaomi Mi 9T</v>
      </c>
      <c r="C2781" s="79">
        <f ca="1">IFERROR(__xludf.DUMMYFUNCTION("""COMPUTED_VALUE"""),110)</f>
        <v>110</v>
      </c>
      <c r="D2781" s="78"/>
      <c r="E2781" s="80">
        <f ca="1">IFERROR(__xludf.DUMMYFUNCTION("""COMPUTED_VALUE"""),110)</f>
        <v>110</v>
      </c>
      <c r="F2781" s="77">
        <f ca="1">IFERROR(__xludf.DUMMYFUNCTION("""COMPUTED_VALUE"""),10160379)</f>
        <v>10160379</v>
      </c>
      <c r="G2781" s="77"/>
    </row>
    <row r="2782" spans="1:7" ht="12.75" x14ac:dyDescent="0.2">
      <c r="A2782" s="78">
        <f ca="1">IFERROR(__xludf.DUMMYFUNCTION("""COMPUTED_VALUE"""),10160380)</f>
        <v>10160380</v>
      </c>
      <c r="B2782" s="78" t="str">
        <f ca="1">IFERROR(__xludf.DUMMYFUNCTION("""COMPUTED_VALUE"""),"Flex Main Xiaomi Poco X3 / X3 pro")</f>
        <v>Flex Main Xiaomi Poco X3 / X3 pro</v>
      </c>
      <c r="C2782" s="79">
        <f ca="1">IFERROR(__xludf.DUMMYFUNCTION("""COMPUTED_VALUE"""),100)</f>
        <v>100</v>
      </c>
      <c r="D2782" s="78"/>
      <c r="E2782" s="80">
        <f ca="1">IFERROR(__xludf.DUMMYFUNCTION("""COMPUTED_VALUE"""),100)</f>
        <v>100</v>
      </c>
      <c r="F2782" s="77">
        <f ca="1">IFERROR(__xludf.DUMMYFUNCTION("""COMPUTED_VALUE"""),10160380)</f>
        <v>10160380</v>
      </c>
      <c r="G2782" s="77"/>
    </row>
    <row r="2783" spans="1:7" ht="12.75" x14ac:dyDescent="0.2">
      <c r="A2783" s="78">
        <f ca="1">IFERROR(__xludf.DUMMYFUNCTION("""COMPUTED_VALUE"""),10160381)</f>
        <v>10160381</v>
      </c>
      <c r="B2783" s="78" t="str">
        <f ca="1">IFERROR(__xludf.DUMMYFUNCTION("""COMPUTED_VALUE"""),"Puerto de Carga Realme C21Y")</f>
        <v>Puerto de Carga Realme C21Y</v>
      </c>
      <c r="C2783" s="79">
        <f ca="1">IFERROR(__xludf.DUMMYFUNCTION("""COMPUTED_VALUE"""),100)</f>
        <v>100</v>
      </c>
      <c r="D2783" s="78"/>
      <c r="E2783" s="80">
        <f ca="1">IFERROR(__xludf.DUMMYFUNCTION("""COMPUTED_VALUE"""),100)</f>
        <v>100</v>
      </c>
      <c r="F2783" s="77">
        <f ca="1">IFERROR(__xludf.DUMMYFUNCTION("""COMPUTED_VALUE"""),10160381)</f>
        <v>10160381</v>
      </c>
      <c r="G2783" s="77"/>
    </row>
    <row r="2784" spans="1:7" ht="12.75" x14ac:dyDescent="0.2">
      <c r="A2784" s="78">
        <f ca="1">IFERROR(__xludf.DUMMYFUNCTION("""COMPUTED_VALUE"""),10160382)</f>
        <v>10160382</v>
      </c>
      <c r="B2784" s="78" t="str">
        <f ca="1">IFERROR(__xludf.DUMMYFUNCTION("""COMPUTED_VALUE"""),"Puerto de Carga Realme 12C")</f>
        <v>Puerto de Carga Realme 12C</v>
      </c>
      <c r="C2784" s="79">
        <f ca="1">IFERROR(__xludf.DUMMYFUNCTION("""COMPUTED_VALUE"""),100)</f>
        <v>100</v>
      </c>
      <c r="D2784" s="78"/>
      <c r="E2784" s="80">
        <f ca="1">IFERROR(__xludf.DUMMYFUNCTION("""COMPUTED_VALUE"""),100)</f>
        <v>100</v>
      </c>
      <c r="F2784" s="77">
        <f ca="1">IFERROR(__xludf.DUMMYFUNCTION("""COMPUTED_VALUE"""),10160382)</f>
        <v>10160382</v>
      </c>
      <c r="G2784" s="77"/>
    </row>
    <row r="2785" spans="1:7" ht="12.75" x14ac:dyDescent="0.2">
      <c r="A2785" s="78">
        <f ca="1">IFERROR(__xludf.DUMMYFUNCTION("""COMPUTED_VALUE"""),10160383)</f>
        <v>10160383</v>
      </c>
      <c r="B2785" s="78" t="str">
        <f ca="1">IFERROR(__xludf.DUMMYFUNCTION("""COMPUTED_VALUE"""),"Puerto de Carga Redmi note 11")</f>
        <v>Puerto de Carga Redmi note 11</v>
      </c>
      <c r="C2785" s="79">
        <f ca="1">IFERROR(__xludf.DUMMYFUNCTION("""COMPUTED_VALUE"""),100)</f>
        <v>100</v>
      </c>
      <c r="D2785" s="78"/>
      <c r="E2785" s="80">
        <f ca="1">IFERROR(__xludf.DUMMYFUNCTION("""COMPUTED_VALUE"""),100)</f>
        <v>100</v>
      </c>
      <c r="F2785" s="77">
        <f ca="1">IFERROR(__xludf.DUMMYFUNCTION("""COMPUTED_VALUE"""),10160383)</f>
        <v>10160383</v>
      </c>
      <c r="G2785" s="77"/>
    </row>
    <row r="2786" spans="1:7" ht="12.75" x14ac:dyDescent="0.2">
      <c r="A2786" s="78">
        <f ca="1">IFERROR(__xludf.DUMMYFUNCTION("""COMPUTED_VALUE"""),10160384)</f>
        <v>10160384</v>
      </c>
      <c r="B2786" s="78" t="str">
        <f ca="1">IFERROR(__xludf.DUMMYFUNCTION("""COMPUTED_VALUE"""),"Flex Main Redmi note 11")</f>
        <v>Flex Main Redmi note 11</v>
      </c>
      <c r="C2786" s="79">
        <f ca="1">IFERROR(__xludf.DUMMYFUNCTION("""COMPUTED_VALUE"""),100)</f>
        <v>100</v>
      </c>
      <c r="D2786" s="78"/>
      <c r="E2786" s="80">
        <f ca="1">IFERROR(__xludf.DUMMYFUNCTION("""COMPUTED_VALUE"""),100)</f>
        <v>100</v>
      </c>
      <c r="F2786" s="77">
        <f ca="1">IFERROR(__xludf.DUMMYFUNCTION("""COMPUTED_VALUE"""),10160384)</f>
        <v>10160384</v>
      </c>
      <c r="G2786" s="77"/>
    </row>
    <row r="2787" spans="1:7" ht="12.75" x14ac:dyDescent="0.2">
      <c r="A2787" s="78" t="str">
        <f ca="1">IFERROR(__xludf.DUMMYFUNCTION("""COMPUTED_VALUE"""),"S-200001")</f>
        <v>S-200001</v>
      </c>
      <c r="B2787" s="78" t="str">
        <f ca="1">IFERROR(__xludf.DUMMYFUNCTION("""COMPUTED_VALUE"""),"Samsung Travel Adapter 25W (sin cable)")</f>
        <v>Samsung Travel Adapter 25W (sin cable)</v>
      </c>
      <c r="C2787" s="79">
        <f ca="1">IFERROR(__xludf.DUMMYFUNCTION("""COMPUTED_VALUE"""),109.9)</f>
        <v>109.9</v>
      </c>
      <c r="D2787" s="78"/>
      <c r="E2787" s="80">
        <f ca="1">IFERROR(__xludf.DUMMYFUNCTION("""COMPUTED_VALUE"""),109.9)</f>
        <v>109.9</v>
      </c>
      <c r="F2787" s="77" t="str">
        <f ca="1">IFERROR(__xludf.DUMMYFUNCTION("""COMPUTED_VALUE"""),"S-200001")</f>
        <v>S-200001</v>
      </c>
      <c r="G2787" s="77"/>
    </row>
    <row r="2788" spans="1:7" ht="12.75" x14ac:dyDescent="0.2">
      <c r="A2788" s="78" t="str">
        <f ca="1">IFERROR(__xludf.DUMMYFUNCTION("""COMPUTED_VALUE"""),"S-200002")</f>
        <v>S-200002</v>
      </c>
      <c r="B2788" s="78" t="str">
        <f ca="1">IFERROR(__xludf.DUMMYFUNCTION("""COMPUTED_VALUE"""),"Samsung Power adapter 45W (con cable)")</f>
        <v>Samsung Power adapter 45W (con cable)</v>
      </c>
      <c r="C2788" s="79">
        <f ca="1">IFERROR(__xludf.DUMMYFUNCTION("""COMPUTED_VALUE"""),169.9)</f>
        <v>169.9</v>
      </c>
      <c r="D2788" s="78"/>
      <c r="E2788" s="80">
        <f ca="1">IFERROR(__xludf.DUMMYFUNCTION("""COMPUTED_VALUE"""),169.9)</f>
        <v>169.9</v>
      </c>
      <c r="F2788" s="77" t="str">
        <f ca="1">IFERROR(__xludf.DUMMYFUNCTION("""COMPUTED_VALUE"""),"S-200002")</f>
        <v>S-200002</v>
      </c>
      <c r="G2788" s="77"/>
    </row>
    <row r="2789" spans="1:7" ht="12.75" x14ac:dyDescent="0.2">
      <c r="A2789" s="78" t="str">
        <f ca="1">IFERROR(__xludf.DUMMYFUNCTION("""COMPUTED_VALUE"""),"S-200003")</f>
        <v>S-200003</v>
      </c>
      <c r="B2789" s="78" t="str">
        <f ca="1">IFERROR(__xludf.DUMMYFUNCTION("""COMPUTED_VALUE"""),"Samsung Power adapter 15W (sin cable)")</f>
        <v>Samsung Power adapter 15W (sin cable)</v>
      </c>
      <c r="C2789" s="79">
        <f ca="1">IFERROR(__xludf.DUMMYFUNCTION("""COMPUTED_VALUE"""),69.9)</f>
        <v>69.900000000000006</v>
      </c>
      <c r="D2789" s="78"/>
      <c r="E2789" s="80">
        <f ca="1">IFERROR(__xludf.DUMMYFUNCTION("""COMPUTED_VALUE"""),69.9)</f>
        <v>69.900000000000006</v>
      </c>
      <c r="F2789" s="77" t="str">
        <f ca="1">IFERROR(__xludf.DUMMYFUNCTION("""COMPUTED_VALUE"""),"S-200003")</f>
        <v>S-200003</v>
      </c>
      <c r="G2789" s="77"/>
    </row>
    <row r="2790" spans="1:7" ht="12.75" x14ac:dyDescent="0.2">
      <c r="A2790" s="78" t="str">
        <f ca="1">IFERROR(__xludf.DUMMYFUNCTION("""COMPUTED_VALUE"""),"S-200004")</f>
        <v>S-200004</v>
      </c>
      <c r="B2790" s="78" t="str">
        <f ca="1">IFERROR(__xludf.DUMMYFUNCTION("""COMPUTED_VALUE"""),"Cable Samsung Tipo C a C    3A Cable   1,8metros")</f>
        <v>Cable Samsung Tipo C a C    3A Cable   1,8metros</v>
      </c>
      <c r="C2790" s="79">
        <f ca="1">IFERROR(__xludf.DUMMYFUNCTION("""COMPUTED_VALUE"""),69.9)</f>
        <v>69.900000000000006</v>
      </c>
      <c r="D2790" s="78"/>
      <c r="E2790" s="80">
        <f ca="1">IFERROR(__xludf.DUMMYFUNCTION("""COMPUTED_VALUE"""),69.9)</f>
        <v>69.900000000000006</v>
      </c>
      <c r="F2790" s="77" t="str">
        <f ca="1">IFERROR(__xludf.DUMMYFUNCTION("""COMPUTED_VALUE"""),"S-200004")</f>
        <v>S-200004</v>
      </c>
      <c r="G2790" s="77"/>
    </row>
    <row r="2791" spans="1:7" ht="12.75" x14ac:dyDescent="0.2">
      <c r="A2791" s="78" t="str">
        <f ca="1">IFERROR(__xludf.DUMMYFUNCTION("""COMPUTED_VALUE"""),"S-200005")</f>
        <v>S-200005</v>
      </c>
      <c r="B2791" s="78" t="str">
        <f ca="1">IFERROR(__xludf.DUMMYFUNCTION("""COMPUTED_VALUE"""),"Power Bank 10000 Samsung Original")</f>
        <v>Power Bank 10000 Samsung Original</v>
      </c>
      <c r="C2791" s="79">
        <f ca="1">IFERROR(__xludf.DUMMYFUNCTION("""COMPUTED_VALUE"""),189.9)</f>
        <v>189.9</v>
      </c>
      <c r="D2791" s="78"/>
      <c r="E2791" s="80">
        <f ca="1">IFERROR(__xludf.DUMMYFUNCTION("""COMPUTED_VALUE"""),189.9)</f>
        <v>189.9</v>
      </c>
      <c r="F2791" s="77" t="str">
        <f ca="1">IFERROR(__xludf.DUMMYFUNCTION("""COMPUTED_VALUE"""),"S-200005")</f>
        <v>S-200005</v>
      </c>
      <c r="G2791" s="77"/>
    </row>
    <row r="2792" spans="1:7" ht="12.75" x14ac:dyDescent="0.2">
      <c r="A2792" s="78" t="str">
        <f ca="1">IFERROR(__xludf.DUMMYFUNCTION("""COMPUTED_VALUE"""),"S-200006")</f>
        <v>S-200006</v>
      </c>
      <c r="B2792" s="78" t="str">
        <f ca="1">IFERROR(__xludf.DUMMYFUNCTION("""COMPUTED_VALUE"""),"Power Bank Gyrux 10000")</f>
        <v>Power Bank Gyrux 10000</v>
      </c>
      <c r="C2792" s="79">
        <f ca="1">IFERROR(__xludf.DUMMYFUNCTION("""COMPUTED_VALUE"""),99.9)</f>
        <v>99.9</v>
      </c>
      <c r="D2792" s="78"/>
      <c r="E2792" s="80">
        <f ca="1">IFERROR(__xludf.DUMMYFUNCTION("""COMPUTED_VALUE"""),99.9)</f>
        <v>99.9</v>
      </c>
      <c r="F2792" s="77" t="str">
        <f ca="1">IFERROR(__xludf.DUMMYFUNCTION("""COMPUTED_VALUE"""),"S-200006")</f>
        <v>S-200006</v>
      </c>
      <c r="G2792" s="77"/>
    </row>
    <row r="2793" spans="1:7" ht="12.75" x14ac:dyDescent="0.2">
      <c r="A2793" s="78">
        <f ca="1">IFERROR(__xludf.DUMMYFUNCTION("""COMPUTED_VALUE"""),10160386)</f>
        <v>10160386</v>
      </c>
      <c r="B2793" s="78" t="str">
        <f ca="1">IFERROR(__xludf.DUMMYFUNCTION("""COMPUTED_VALUE"""),"Pantalla MacBook A2681")</f>
        <v>Pantalla MacBook A2681</v>
      </c>
      <c r="C2793" s="79">
        <f ca="1">IFERROR(__xludf.DUMMYFUNCTION("""COMPUTED_VALUE"""),2600)</f>
        <v>2600</v>
      </c>
      <c r="D2793" s="78"/>
      <c r="E2793" s="80">
        <f ca="1">IFERROR(__xludf.DUMMYFUNCTION("""COMPUTED_VALUE"""),2600)</f>
        <v>2600</v>
      </c>
      <c r="F2793" s="77">
        <f ca="1">IFERROR(__xludf.DUMMYFUNCTION("""COMPUTED_VALUE"""),10160386)</f>
        <v>10160386</v>
      </c>
      <c r="G2793" s="77"/>
    </row>
    <row r="2794" spans="1:7" ht="12.75" x14ac:dyDescent="0.2">
      <c r="A2794" s="78">
        <f ca="1">IFERROR(__xludf.DUMMYFUNCTION("""COMPUTED_VALUE"""),10160385)</f>
        <v>10160385</v>
      </c>
      <c r="B2794" s="78" t="str">
        <f ca="1">IFERROR(__xludf.DUMMYFUNCTION("""COMPUTED_VALUE"""),"Glass Lens de S23 Ultra")</f>
        <v>Glass Lens de S23 Ultra</v>
      </c>
      <c r="C2794" s="78"/>
      <c r="D2794" s="78"/>
      <c r="E2794" s="80">
        <f ca="1">IFERROR(__xludf.DUMMYFUNCTION("""COMPUTED_VALUE"""),0)</f>
        <v>0</v>
      </c>
      <c r="F2794" s="77">
        <f ca="1">IFERROR(__xludf.DUMMYFUNCTION("""COMPUTED_VALUE"""),10160385)</f>
        <v>10160385</v>
      </c>
      <c r="G2794" s="77"/>
    </row>
    <row r="2795" spans="1:7" ht="12.75" x14ac:dyDescent="0.2">
      <c r="A2795" s="78"/>
      <c r="B2795" s="78"/>
      <c r="C2795" s="78"/>
      <c r="D2795" s="78"/>
      <c r="E2795" s="80">
        <f ca="1">IFERROR(__xludf.DUMMYFUNCTION("""COMPUTED_VALUE"""),0)</f>
        <v>0</v>
      </c>
      <c r="F2795" s="77"/>
      <c r="G2795" s="77"/>
    </row>
    <row r="2796" spans="1:7" ht="12.75" x14ac:dyDescent="0.2">
      <c r="A2796" s="78"/>
      <c r="B2796" s="78"/>
      <c r="C2796" s="78"/>
      <c r="D2796" s="78"/>
      <c r="E2796" s="80">
        <f ca="1">IFERROR(__xludf.DUMMYFUNCTION("""COMPUTED_VALUE"""),0)</f>
        <v>0</v>
      </c>
      <c r="F2796" s="77"/>
      <c r="G2796" s="77"/>
    </row>
    <row r="2797" spans="1:7" ht="12.75" x14ac:dyDescent="0.2">
      <c r="A2797" s="78"/>
      <c r="B2797" s="78"/>
      <c r="C2797" s="78"/>
      <c r="D2797" s="78"/>
      <c r="E2797" s="80">
        <f ca="1">IFERROR(__xludf.DUMMYFUNCTION("""COMPUTED_VALUE"""),0)</f>
        <v>0</v>
      </c>
      <c r="F2797" s="77"/>
      <c r="G2797" s="77"/>
    </row>
    <row r="2798" spans="1:7" ht="12.75" x14ac:dyDescent="0.2">
      <c r="A2798" s="78"/>
      <c r="B2798" s="78"/>
      <c r="C2798" s="78"/>
      <c r="D2798" s="78"/>
      <c r="E2798" s="80">
        <f ca="1">IFERROR(__xludf.DUMMYFUNCTION("""COMPUTED_VALUE"""),0)</f>
        <v>0</v>
      </c>
      <c r="F2798" s="77"/>
      <c r="G2798" s="77"/>
    </row>
    <row r="2799" spans="1:7" ht="12.75" x14ac:dyDescent="0.2">
      <c r="A2799" s="78"/>
      <c r="B2799" s="78"/>
      <c r="C2799" s="78"/>
      <c r="D2799" s="78"/>
      <c r="E2799" s="80">
        <f ca="1">IFERROR(__xludf.DUMMYFUNCTION("""COMPUTED_VALUE"""),0)</f>
        <v>0</v>
      </c>
      <c r="F2799" s="77"/>
      <c r="G2799" s="77"/>
    </row>
    <row r="2800" spans="1:7" ht="12.75" x14ac:dyDescent="0.2">
      <c r="A2800" s="78"/>
      <c r="B2800" s="78"/>
      <c r="C2800" s="78"/>
      <c r="D2800" s="78"/>
      <c r="E2800" s="80">
        <f ca="1">IFERROR(__xludf.DUMMYFUNCTION("""COMPUTED_VALUE"""),0)</f>
        <v>0</v>
      </c>
      <c r="F2800" s="77"/>
      <c r="G2800" s="77"/>
    </row>
    <row r="2801" spans="1:7" ht="12.75" x14ac:dyDescent="0.2">
      <c r="A2801" s="78"/>
      <c r="B2801" s="78"/>
      <c r="C2801" s="78"/>
      <c r="D2801" s="78"/>
      <c r="E2801" s="80">
        <f ca="1">IFERROR(__xludf.DUMMYFUNCTION("""COMPUTED_VALUE"""),0)</f>
        <v>0</v>
      </c>
      <c r="F2801" s="77"/>
      <c r="G2801" s="77"/>
    </row>
    <row r="2802" spans="1:7" ht="12.75" x14ac:dyDescent="0.2">
      <c r="A2802" s="78"/>
      <c r="B2802" s="78"/>
      <c r="C2802" s="78"/>
      <c r="D2802" s="78"/>
      <c r="E2802" s="80">
        <f ca="1">IFERROR(__xludf.DUMMYFUNCTION("""COMPUTED_VALUE"""),0)</f>
        <v>0</v>
      </c>
      <c r="F2802" s="77"/>
      <c r="G2802" s="77"/>
    </row>
    <row r="2803" spans="1:7" ht="12.75" x14ac:dyDescent="0.2">
      <c r="A2803" s="78"/>
      <c r="B2803" s="78"/>
      <c r="C2803" s="78"/>
      <c r="D2803" s="78"/>
      <c r="E2803" s="80">
        <f ca="1">IFERROR(__xludf.DUMMYFUNCTION("""COMPUTED_VALUE"""),0)</f>
        <v>0</v>
      </c>
      <c r="F2803" s="77"/>
      <c r="G2803" s="77"/>
    </row>
    <row r="2804" spans="1:7" ht="12.75" x14ac:dyDescent="0.2">
      <c r="A2804" s="78"/>
      <c r="B2804" s="78"/>
      <c r="C2804" s="78"/>
      <c r="D2804" s="78"/>
      <c r="E2804" s="80">
        <f ca="1">IFERROR(__xludf.DUMMYFUNCTION("""COMPUTED_VALUE"""),0)</f>
        <v>0</v>
      </c>
      <c r="F2804" s="77"/>
      <c r="G2804" s="77"/>
    </row>
    <row r="2805" spans="1:7" ht="12.75" x14ac:dyDescent="0.2">
      <c r="A2805" s="78"/>
      <c r="B2805" s="78"/>
      <c r="C2805" s="78"/>
      <c r="D2805" s="78"/>
      <c r="E2805" s="80">
        <f ca="1">IFERROR(__xludf.DUMMYFUNCTION("""COMPUTED_VALUE"""),0)</f>
        <v>0</v>
      </c>
      <c r="F2805" s="77"/>
      <c r="G2805" s="77"/>
    </row>
    <row r="2806" spans="1:7" ht="12.75" x14ac:dyDescent="0.2">
      <c r="A2806" s="78"/>
      <c r="B2806" s="78"/>
      <c r="C2806" s="78"/>
      <c r="D2806" s="78"/>
      <c r="E2806" s="80">
        <f ca="1">IFERROR(__xludf.DUMMYFUNCTION("""COMPUTED_VALUE"""),0)</f>
        <v>0</v>
      </c>
      <c r="F2806" s="77"/>
      <c r="G2806" s="77"/>
    </row>
    <row r="2807" spans="1:7" ht="12.75" x14ac:dyDescent="0.2">
      <c r="A2807" s="78"/>
      <c r="B2807" s="78"/>
      <c r="C2807" s="78"/>
      <c r="D2807" s="78"/>
      <c r="E2807" s="80">
        <f ca="1">IFERROR(__xludf.DUMMYFUNCTION("""COMPUTED_VALUE"""),0)</f>
        <v>0</v>
      </c>
      <c r="F2807" s="77"/>
      <c r="G2807" s="77"/>
    </row>
    <row r="2808" spans="1:7" ht="12.75" x14ac:dyDescent="0.2">
      <c r="A2808" s="78"/>
      <c r="B2808" s="78"/>
      <c r="C2808" s="78"/>
      <c r="D2808" s="78"/>
      <c r="E2808" s="80">
        <f ca="1">IFERROR(__xludf.DUMMYFUNCTION("""COMPUTED_VALUE"""),0)</f>
        <v>0</v>
      </c>
      <c r="F2808" s="77"/>
      <c r="G2808" s="77"/>
    </row>
    <row r="2809" spans="1:7" ht="12.75" x14ac:dyDescent="0.2">
      <c r="A2809" s="78"/>
      <c r="B2809" s="78"/>
      <c r="C2809" s="78"/>
      <c r="D2809" s="78"/>
      <c r="E2809" s="80">
        <f ca="1">IFERROR(__xludf.DUMMYFUNCTION("""COMPUTED_VALUE"""),0)</f>
        <v>0</v>
      </c>
      <c r="F2809" s="77"/>
      <c r="G2809" s="77"/>
    </row>
    <row r="2810" spans="1:7" ht="12.75" x14ac:dyDescent="0.2">
      <c r="A2810" s="78"/>
      <c r="B2810" s="78"/>
      <c r="C2810" s="78"/>
      <c r="D2810" s="78"/>
      <c r="E2810" s="80">
        <f ca="1">IFERROR(__xludf.DUMMYFUNCTION("""COMPUTED_VALUE"""),0)</f>
        <v>0</v>
      </c>
      <c r="F2810" s="77"/>
      <c r="G2810" s="77"/>
    </row>
    <row r="2811" spans="1:7" ht="12.75" x14ac:dyDescent="0.2">
      <c r="A2811" s="78"/>
      <c r="B2811" s="78"/>
      <c r="C2811" s="78"/>
      <c r="D2811" s="78"/>
      <c r="E2811" s="80">
        <f ca="1">IFERROR(__xludf.DUMMYFUNCTION("""COMPUTED_VALUE"""),0)</f>
        <v>0</v>
      </c>
      <c r="F2811" s="77"/>
      <c r="G2811" s="77"/>
    </row>
    <row r="2812" spans="1:7" ht="12.75" x14ac:dyDescent="0.2">
      <c r="A2812" s="78"/>
      <c r="B2812" s="78"/>
      <c r="C2812" s="78"/>
      <c r="D2812" s="78"/>
      <c r="E2812" s="80">
        <f ca="1">IFERROR(__xludf.DUMMYFUNCTION("""COMPUTED_VALUE"""),0)</f>
        <v>0</v>
      </c>
      <c r="F2812" s="77"/>
      <c r="G2812" s="77"/>
    </row>
    <row r="2813" spans="1:7" ht="12.75" x14ac:dyDescent="0.2">
      <c r="A2813" s="78"/>
      <c r="B2813" s="78"/>
      <c r="C2813" s="78"/>
      <c r="D2813" s="78"/>
      <c r="E2813" s="80">
        <f ca="1">IFERROR(__xludf.DUMMYFUNCTION("""COMPUTED_VALUE"""),0)</f>
        <v>0</v>
      </c>
      <c r="F2813" s="77"/>
      <c r="G2813" s="77"/>
    </row>
    <row r="2814" spans="1:7" ht="12.75" x14ac:dyDescent="0.2">
      <c r="A2814" s="78"/>
      <c r="B2814" s="78"/>
      <c r="C2814" s="78"/>
      <c r="D2814" s="78"/>
      <c r="E2814" s="80">
        <f ca="1">IFERROR(__xludf.DUMMYFUNCTION("""COMPUTED_VALUE"""),0)</f>
        <v>0</v>
      </c>
      <c r="F2814" s="77"/>
      <c r="G2814" s="77"/>
    </row>
    <row r="2815" spans="1:7" ht="12.75" x14ac:dyDescent="0.2">
      <c r="A2815" s="78"/>
      <c r="B2815" s="78"/>
      <c r="C2815" s="78"/>
      <c r="D2815" s="78"/>
      <c r="E2815" s="80">
        <f ca="1">IFERROR(__xludf.DUMMYFUNCTION("""COMPUTED_VALUE"""),0)</f>
        <v>0</v>
      </c>
      <c r="F2815" s="77"/>
      <c r="G2815" s="77"/>
    </row>
    <row r="2816" spans="1:7" ht="12.75" x14ac:dyDescent="0.2">
      <c r="A2816" s="78"/>
      <c r="B2816" s="78"/>
      <c r="C2816" s="78"/>
      <c r="D2816" s="78"/>
      <c r="E2816" s="80">
        <f ca="1">IFERROR(__xludf.DUMMYFUNCTION("""COMPUTED_VALUE"""),0)</f>
        <v>0</v>
      </c>
      <c r="F2816" s="77"/>
      <c r="G2816" s="77"/>
    </row>
    <row r="2817" spans="1:7" ht="12.75" x14ac:dyDescent="0.2">
      <c r="A2817" s="78"/>
      <c r="B2817" s="78"/>
      <c r="C2817" s="78"/>
      <c r="D2817" s="78"/>
      <c r="E2817" s="80">
        <f ca="1">IFERROR(__xludf.DUMMYFUNCTION("""COMPUTED_VALUE"""),0)</f>
        <v>0</v>
      </c>
      <c r="F2817" s="77"/>
      <c r="G2817" s="77"/>
    </row>
    <row r="2818" spans="1:7" ht="12.75" x14ac:dyDescent="0.2">
      <c r="A2818" s="78"/>
      <c r="B2818" s="78"/>
      <c r="C2818" s="78"/>
      <c r="D2818" s="78"/>
      <c r="E2818" s="80">
        <f ca="1">IFERROR(__xludf.DUMMYFUNCTION("""COMPUTED_VALUE"""),0)</f>
        <v>0</v>
      </c>
      <c r="F2818" s="77"/>
      <c r="G2818" s="77"/>
    </row>
    <row r="2819" spans="1:7" ht="12.75" x14ac:dyDescent="0.2">
      <c r="A2819" s="78"/>
      <c r="B2819" s="78"/>
      <c r="C2819" s="78"/>
      <c r="D2819" s="78"/>
      <c r="E2819" s="80">
        <f ca="1">IFERROR(__xludf.DUMMYFUNCTION("""COMPUTED_VALUE"""),0)</f>
        <v>0</v>
      </c>
      <c r="F2819" s="77"/>
      <c r="G2819" s="77"/>
    </row>
    <row r="2820" spans="1:7" ht="12.75" x14ac:dyDescent="0.2">
      <c r="A2820" s="78"/>
      <c r="B2820" s="78"/>
      <c r="C2820" s="78"/>
      <c r="D2820" s="78"/>
      <c r="E2820" s="80">
        <f ca="1">IFERROR(__xludf.DUMMYFUNCTION("""COMPUTED_VALUE"""),0)</f>
        <v>0</v>
      </c>
      <c r="F2820" s="77"/>
      <c r="G2820" s="77"/>
    </row>
    <row r="2821" spans="1:7" ht="12.75" x14ac:dyDescent="0.2">
      <c r="A2821" s="78"/>
      <c r="B2821" s="78"/>
      <c r="C2821" s="78"/>
      <c r="D2821" s="78"/>
      <c r="E2821" s="80">
        <f ca="1">IFERROR(__xludf.DUMMYFUNCTION("""COMPUTED_VALUE"""),0)</f>
        <v>0</v>
      </c>
      <c r="F2821" s="77"/>
      <c r="G2821" s="77"/>
    </row>
    <row r="2822" spans="1:7" ht="12.75" x14ac:dyDescent="0.2">
      <c r="A2822" s="78"/>
      <c r="B2822" s="78"/>
      <c r="C2822" s="78"/>
      <c r="D2822" s="78"/>
      <c r="E2822" s="80">
        <f ca="1">IFERROR(__xludf.DUMMYFUNCTION("""COMPUTED_VALUE"""),0)</f>
        <v>0</v>
      </c>
      <c r="F2822" s="77"/>
      <c r="G2822" s="77"/>
    </row>
    <row r="2823" spans="1:7" ht="12.75" x14ac:dyDescent="0.2">
      <c r="A2823" s="78"/>
      <c r="B2823" s="78"/>
      <c r="C2823" s="78"/>
      <c r="D2823" s="78"/>
      <c r="E2823" s="80">
        <f ca="1">IFERROR(__xludf.DUMMYFUNCTION("""COMPUTED_VALUE"""),0)</f>
        <v>0</v>
      </c>
      <c r="F2823" s="77"/>
      <c r="G2823" s="77"/>
    </row>
    <row r="2824" spans="1:7" ht="12.75" x14ac:dyDescent="0.2">
      <c r="A2824" s="78"/>
      <c r="B2824" s="78"/>
      <c r="C2824" s="78"/>
      <c r="D2824" s="78"/>
      <c r="E2824" s="80">
        <f ca="1">IFERROR(__xludf.DUMMYFUNCTION("""COMPUTED_VALUE"""),0)</f>
        <v>0</v>
      </c>
      <c r="F2824" s="77"/>
      <c r="G2824" s="77"/>
    </row>
    <row r="2825" spans="1:7" ht="12.75" x14ac:dyDescent="0.2">
      <c r="A2825" s="78"/>
      <c r="B2825" s="78"/>
      <c r="C2825" s="78"/>
      <c r="D2825" s="78"/>
      <c r="E2825" s="80">
        <f ca="1">IFERROR(__xludf.DUMMYFUNCTION("""COMPUTED_VALUE"""),0)</f>
        <v>0</v>
      </c>
      <c r="F2825" s="77"/>
      <c r="G2825" s="77"/>
    </row>
    <row r="2826" spans="1:7" ht="12.75" x14ac:dyDescent="0.2">
      <c r="A2826" s="78"/>
      <c r="B2826" s="78"/>
      <c r="C2826" s="78"/>
      <c r="D2826" s="78"/>
      <c r="E2826" s="80">
        <f ca="1">IFERROR(__xludf.DUMMYFUNCTION("""COMPUTED_VALUE"""),0)</f>
        <v>0</v>
      </c>
      <c r="F2826" s="77"/>
      <c r="G2826" s="77"/>
    </row>
    <row r="2827" spans="1:7" ht="12.75" x14ac:dyDescent="0.2">
      <c r="A2827" s="78"/>
      <c r="B2827" s="78"/>
      <c r="C2827" s="78"/>
      <c r="D2827" s="78"/>
      <c r="E2827" s="80">
        <f ca="1">IFERROR(__xludf.DUMMYFUNCTION("""COMPUTED_VALUE"""),0)</f>
        <v>0</v>
      </c>
      <c r="F2827" s="77"/>
      <c r="G2827" s="77"/>
    </row>
    <row r="2828" spans="1:7" ht="12.75" x14ac:dyDescent="0.2">
      <c r="A2828" s="78"/>
      <c r="B2828" s="78"/>
      <c r="C2828" s="78"/>
      <c r="D2828" s="78"/>
      <c r="E2828" s="80">
        <f ca="1">IFERROR(__xludf.DUMMYFUNCTION("""COMPUTED_VALUE"""),0)</f>
        <v>0</v>
      </c>
      <c r="F2828" s="77"/>
      <c r="G2828" s="77"/>
    </row>
    <row r="2829" spans="1:7" ht="12.75" x14ac:dyDescent="0.2">
      <c r="A2829" s="78"/>
      <c r="B2829" s="78"/>
      <c r="C2829" s="78"/>
      <c r="D2829" s="78"/>
      <c r="E2829" s="80">
        <f ca="1">IFERROR(__xludf.DUMMYFUNCTION("""COMPUTED_VALUE"""),0)</f>
        <v>0</v>
      </c>
      <c r="F2829" s="77"/>
      <c r="G2829" s="77"/>
    </row>
    <row r="2830" spans="1:7" ht="12.75" x14ac:dyDescent="0.2">
      <c r="A2830" s="78"/>
      <c r="B2830" s="78"/>
      <c r="C2830" s="78"/>
      <c r="D2830" s="78"/>
      <c r="E2830" s="80">
        <f ca="1">IFERROR(__xludf.DUMMYFUNCTION("""COMPUTED_VALUE"""),0)</f>
        <v>0</v>
      </c>
      <c r="F2830" s="77"/>
      <c r="G2830" s="77"/>
    </row>
    <row r="2831" spans="1:7" ht="12.75" x14ac:dyDescent="0.2">
      <c r="A2831" s="78"/>
      <c r="B2831" s="78"/>
      <c r="C2831" s="78"/>
      <c r="D2831" s="78"/>
      <c r="E2831" s="80">
        <f ca="1">IFERROR(__xludf.DUMMYFUNCTION("""COMPUTED_VALUE"""),0)</f>
        <v>0</v>
      </c>
      <c r="F2831" s="77"/>
      <c r="G2831" s="77"/>
    </row>
    <row r="2832" spans="1:7" ht="12.75" x14ac:dyDescent="0.2">
      <c r="A2832" s="78"/>
      <c r="B2832" s="78"/>
      <c r="C2832" s="78"/>
      <c r="D2832" s="78"/>
      <c r="E2832" s="80">
        <f ca="1">IFERROR(__xludf.DUMMYFUNCTION("""COMPUTED_VALUE"""),0)</f>
        <v>0</v>
      </c>
      <c r="F2832" s="77"/>
      <c r="G2832" s="77"/>
    </row>
    <row r="2833" spans="1:7" ht="12.75" x14ac:dyDescent="0.2">
      <c r="A2833" s="78"/>
      <c r="B2833" s="78"/>
      <c r="C2833" s="78"/>
      <c r="D2833" s="78"/>
      <c r="E2833" s="80">
        <f ca="1">IFERROR(__xludf.DUMMYFUNCTION("""COMPUTED_VALUE"""),0)</f>
        <v>0</v>
      </c>
      <c r="F2833" s="77"/>
      <c r="G2833" s="77"/>
    </row>
    <row r="2834" spans="1:7" ht="12.75" x14ac:dyDescent="0.2">
      <c r="A2834" s="78"/>
      <c r="B2834" s="78"/>
      <c r="C2834" s="78"/>
      <c r="D2834" s="78"/>
      <c r="E2834" s="80">
        <f ca="1">IFERROR(__xludf.DUMMYFUNCTION("""COMPUTED_VALUE"""),0)</f>
        <v>0</v>
      </c>
      <c r="F2834" s="77"/>
      <c r="G2834" s="77"/>
    </row>
    <row r="2835" spans="1:7" ht="12.75" x14ac:dyDescent="0.2">
      <c r="A2835" s="78"/>
      <c r="B2835" s="78"/>
      <c r="C2835" s="78"/>
      <c r="D2835" s="78"/>
      <c r="E2835" s="80">
        <f ca="1">IFERROR(__xludf.DUMMYFUNCTION("""COMPUTED_VALUE"""),0)</f>
        <v>0</v>
      </c>
      <c r="F2835" s="77"/>
      <c r="G2835" s="77"/>
    </row>
    <row r="2836" spans="1:7" ht="12.75" x14ac:dyDescent="0.2">
      <c r="A2836" s="78"/>
      <c r="B2836" s="78"/>
      <c r="C2836" s="78"/>
      <c r="D2836" s="78"/>
      <c r="E2836" s="80">
        <f ca="1">IFERROR(__xludf.DUMMYFUNCTION("""COMPUTED_VALUE"""),0)</f>
        <v>0</v>
      </c>
      <c r="F2836" s="77"/>
      <c r="G2836" s="77"/>
    </row>
    <row r="2837" spans="1:7" ht="12.75" x14ac:dyDescent="0.2">
      <c r="A2837" s="78"/>
      <c r="B2837" s="78"/>
      <c r="C2837" s="78"/>
      <c r="D2837" s="78"/>
      <c r="E2837" s="80">
        <f ca="1">IFERROR(__xludf.DUMMYFUNCTION("""COMPUTED_VALUE"""),0)</f>
        <v>0</v>
      </c>
      <c r="F2837" s="77"/>
      <c r="G2837" s="77"/>
    </row>
    <row r="2838" spans="1:7" ht="12.75" x14ac:dyDescent="0.2">
      <c r="A2838" s="78"/>
      <c r="B2838" s="78"/>
      <c r="C2838" s="78"/>
      <c r="D2838" s="78"/>
      <c r="E2838" s="80">
        <f ca="1">IFERROR(__xludf.DUMMYFUNCTION("""COMPUTED_VALUE"""),0)</f>
        <v>0</v>
      </c>
      <c r="F2838" s="77"/>
      <c r="G2838" s="77"/>
    </row>
    <row r="2839" spans="1:7" ht="12.75" x14ac:dyDescent="0.2">
      <c r="A2839" s="78"/>
      <c r="B2839" s="78"/>
      <c r="C2839" s="78"/>
      <c r="D2839" s="78"/>
      <c r="E2839" s="80">
        <f ca="1">IFERROR(__xludf.DUMMYFUNCTION("""COMPUTED_VALUE"""),0)</f>
        <v>0</v>
      </c>
      <c r="F2839" s="77"/>
      <c r="G2839" s="77"/>
    </row>
    <row r="2840" spans="1:7" ht="12.75" x14ac:dyDescent="0.2">
      <c r="A2840" s="78"/>
      <c r="B2840" s="78"/>
      <c r="C2840" s="78"/>
      <c r="D2840" s="78"/>
      <c r="E2840" s="80">
        <f ca="1">IFERROR(__xludf.DUMMYFUNCTION("""COMPUTED_VALUE"""),0)</f>
        <v>0</v>
      </c>
      <c r="F2840" s="77"/>
      <c r="G2840" s="77"/>
    </row>
    <row r="2841" spans="1:7" ht="12.75" x14ac:dyDescent="0.2">
      <c r="A2841" s="78"/>
      <c r="B2841" s="78"/>
      <c r="C2841" s="78"/>
      <c r="D2841" s="78"/>
      <c r="E2841" s="80">
        <f ca="1">IFERROR(__xludf.DUMMYFUNCTION("""COMPUTED_VALUE"""),0)</f>
        <v>0</v>
      </c>
      <c r="F2841" s="77"/>
      <c r="G2841" s="77"/>
    </row>
    <row r="2842" spans="1:7" ht="12.75" x14ac:dyDescent="0.2">
      <c r="A2842" s="78"/>
      <c r="B2842" s="78"/>
      <c r="C2842" s="78"/>
      <c r="D2842" s="78"/>
      <c r="E2842" s="80">
        <f ca="1">IFERROR(__xludf.DUMMYFUNCTION("""COMPUTED_VALUE"""),0)</f>
        <v>0</v>
      </c>
      <c r="F2842" s="77"/>
      <c r="G2842" s="77"/>
    </row>
    <row r="2843" spans="1:7" ht="12.75" x14ac:dyDescent="0.2">
      <c r="A2843" s="78"/>
      <c r="B2843" s="78"/>
      <c r="C2843" s="78"/>
      <c r="D2843" s="78"/>
      <c r="E2843" s="80">
        <f ca="1">IFERROR(__xludf.DUMMYFUNCTION("""COMPUTED_VALUE"""),0)</f>
        <v>0</v>
      </c>
      <c r="F2843" s="77"/>
      <c r="G2843" s="77"/>
    </row>
    <row r="2844" spans="1:7" ht="12.75" x14ac:dyDescent="0.2">
      <c r="A2844" s="78"/>
      <c r="B2844" s="78"/>
      <c r="C2844" s="78"/>
      <c r="D2844" s="78"/>
      <c r="E2844" s="80">
        <f ca="1">IFERROR(__xludf.DUMMYFUNCTION("""COMPUTED_VALUE"""),0)</f>
        <v>0</v>
      </c>
      <c r="F2844" s="77"/>
      <c r="G2844" s="77"/>
    </row>
    <row r="2845" spans="1:7" ht="12.75" x14ac:dyDescent="0.2">
      <c r="A2845" s="78"/>
      <c r="B2845" s="78"/>
      <c r="C2845" s="78"/>
      <c r="D2845" s="78"/>
      <c r="E2845" s="80">
        <f ca="1">IFERROR(__xludf.DUMMYFUNCTION("""COMPUTED_VALUE"""),0)</f>
        <v>0</v>
      </c>
      <c r="F2845" s="77"/>
      <c r="G2845" s="77"/>
    </row>
    <row r="2846" spans="1:7" ht="12.75" x14ac:dyDescent="0.2">
      <c r="A2846" s="78"/>
      <c r="B2846" s="78"/>
      <c r="C2846" s="78"/>
      <c r="D2846" s="78"/>
      <c r="E2846" s="80">
        <f ca="1">IFERROR(__xludf.DUMMYFUNCTION("""COMPUTED_VALUE"""),0)</f>
        <v>0</v>
      </c>
      <c r="F2846" s="77"/>
      <c r="G2846" s="77"/>
    </row>
    <row r="2847" spans="1:7" ht="12.75" x14ac:dyDescent="0.2">
      <c r="A2847" s="78"/>
      <c r="B2847" s="78"/>
      <c r="C2847" s="78"/>
      <c r="D2847" s="78"/>
      <c r="E2847" s="80">
        <f ca="1">IFERROR(__xludf.DUMMYFUNCTION("""COMPUTED_VALUE"""),0)</f>
        <v>0</v>
      </c>
      <c r="F2847" s="77"/>
      <c r="G2847" s="77"/>
    </row>
    <row r="2848" spans="1:7" ht="12.75" x14ac:dyDescent="0.2">
      <c r="A2848" s="78"/>
      <c r="B2848" s="78"/>
      <c r="C2848" s="78"/>
      <c r="D2848" s="78"/>
      <c r="E2848" s="80">
        <f ca="1">IFERROR(__xludf.DUMMYFUNCTION("""COMPUTED_VALUE"""),0)</f>
        <v>0</v>
      </c>
      <c r="F2848" s="77"/>
      <c r="G2848" s="77"/>
    </row>
    <row r="2849" spans="1:7" ht="12.75" x14ac:dyDescent="0.2">
      <c r="A2849" s="78"/>
      <c r="B2849" s="78"/>
      <c r="C2849" s="78"/>
      <c r="D2849" s="78"/>
      <c r="E2849" s="80">
        <f ca="1">IFERROR(__xludf.DUMMYFUNCTION("""COMPUTED_VALUE"""),0)</f>
        <v>0</v>
      </c>
      <c r="F2849" s="77"/>
      <c r="G2849" s="77"/>
    </row>
    <row r="2850" spans="1:7" ht="12.75" x14ac:dyDescent="0.2">
      <c r="A2850" s="78"/>
      <c r="B2850" s="78"/>
      <c r="C2850" s="78"/>
      <c r="D2850" s="78"/>
      <c r="E2850" s="80">
        <f ca="1">IFERROR(__xludf.DUMMYFUNCTION("""COMPUTED_VALUE"""),0)</f>
        <v>0</v>
      </c>
      <c r="F2850" s="77"/>
      <c r="G2850" s="77"/>
    </row>
    <row r="2851" spans="1:7" ht="12.75" x14ac:dyDescent="0.2">
      <c r="A2851" s="78"/>
      <c r="B2851" s="78"/>
      <c r="C2851" s="78"/>
      <c r="D2851" s="78"/>
      <c r="E2851" s="80">
        <f ca="1">IFERROR(__xludf.DUMMYFUNCTION("""COMPUTED_VALUE"""),0)</f>
        <v>0</v>
      </c>
      <c r="F2851" s="77"/>
      <c r="G2851" s="77"/>
    </row>
    <row r="2852" spans="1:7" ht="12.75" x14ac:dyDescent="0.2">
      <c r="A2852" s="78"/>
      <c r="B2852" s="78"/>
      <c r="C2852" s="78"/>
      <c r="D2852" s="78"/>
      <c r="E2852" s="80">
        <f ca="1">IFERROR(__xludf.DUMMYFUNCTION("""COMPUTED_VALUE"""),0)</f>
        <v>0</v>
      </c>
      <c r="F2852" s="77"/>
      <c r="G2852" s="77"/>
    </row>
    <row r="2853" spans="1:7" ht="12.75" x14ac:dyDescent="0.2">
      <c r="A2853" s="78"/>
      <c r="B2853" s="78"/>
      <c r="C2853" s="78"/>
      <c r="D2853" s="78"/>
      <c r="E2853" s="80">
        <f ca="1">IFERROR(__xludf.DUMMYFUNCTION("""COMPUTED_VALUE"""),0)</f>
        <v>0</v>
      </c>
      <c r="F2853" s="77"/>
      <c r="G2853" s="77"/>
    </row>
    <row r="2854" spans="1:7" ht="12.75" x14ac:dyDescent="0.2">
      <c r="A2854" s="78"/>
      <c r="B2854" s="78"/>
      <c r="C2854" s="78"/>
      <c r="D2854" s="78"/>
      <c r="E2854" s="80">
        <f ca="1">IFERROR(__xludf.DUMMYFUNCTION("""COMPUTED_VALUE"""),0)</f>
        <v>0</v>
      </c>
      <c r="F2854" s="77"/>
      <c r="G2854" s="77"/>
    </row>
    <row r="2855" spans="1:7" ht="12.75" x14ac:dyDescent="0.2">
      <c r="A2855" s="78"/>
      <c r="B2855" s="78"/>
      <c r="C2855" s="78"/>
      <c r="D2855" s="78"/>
      <c r="E2855" s="80">
        <f ca="1">IFERROR(__xludf.DUMMYFUNCTION("""COMPUTED_VALUE"""),0)</f>
        <v>0</v>
      </c>
      <c r="F2855" s="77"/>
      <c r="G2855" s="77"/>
    </row>
    <row r="2856" spans="1:7" ht="12.75" x14ac:dyDescent="0.2">
      <c r="A2856" s="78"/>
      <c r="B2856" s="78"/>
      <c r="C2856" s="78"/>
      <c r="D2856" s="78"/>
      <c r="E2856" s="80">
        <f ca="1">IFERROR(__xludf.DUMMYFUNCTION("""COMPUTED_VALUE"""),0)</f>
        <v>0</v>
      </c>
      <c r="F2856" s="77"/>
      <c r="G2856" s="77"/>
    </row>
    <row r="2857" spans="1:7" ht="12.75" x14ac:dyDescent="0.2">
      <c r="A2857" s="78"/>
      <c r="B2857" s="78"/>
      <c r="C2857" s="78"/>
      <c r="D2857" s="78"/>
      <c r="E2857" s="80">
        <f ca="1">IFERROR(__xludf.DUMMYFUNCTION("""COMPUTED_VALUE"""),0)</f>
        <v>0</v>
      </c>
      <c r="F2857" s="77"/>
      <c r="G2857" s="77"/>
    </row>
    <row r="2858" spans="1:7" ht="12.75" x14ac:dyDescent="0.2">
      <c r="A2858" s="78"/>
      <c r="B2858" s="78"/>
      <c r="C2858" s="78"/>
      <c r="D2858" s="78"/>
      <c r="E2858" s="80">
        <f ca="1">IFERROR(__xludf.DUMMYFUNCTION("""COMPUTED_VALUE"""),0)</f>
        <v>0</v>
      </c>
      <c r="F2858" s="77"/>
      <c r="G2858" s="77"/>
    </row>
    <row r="2859" spans="1:7" ht="12.75" x14ac:dyDescent="0.2">
      <c r="A2859" s="78"/>
      <c r="B2859" s="78"/>
      <c r="C2859" s="78"/>
      <c r="D2859" s="78"/>
      <c r="E2859" s="80">
        <f ca="1">IFERROR(__xludf.DUMMYFUNCTION("""COMPUTED_VALUE"""),0)</f>
        <v>0</v>
      </c>
      <c r="F2859" s="77"/>
      <c r="G2859" s="77"/>
    </row>
    <row r="2860" spans="1:7" ht="12.75" x14ac:dyDescent="0.2">
      <c r="A2860" s="78"/>
      <c r="B2860" s="78"/>
      <c r="C2860" s="78"/>
      <c r="D2860" s="78"/>
      <c r="E2860" s="80">
        <f ca="1">IFERROR(__xludf.DUMMYFUNCTION("""COMPUTED_VALUE"""),0)</f>
        <v>0</v>
      </c>
      <c r="F2860" s="77"/>
      <c r="G2860" s="77"/>
    </row>
    <row r="2861" spans="1:7" ht="12.75" x14ac:dyDescent="0.2">
      <c r="A2861" s="78"/>
      <c r="B2861" s="78"/>
      <c r="C2861" s="78"/>
      <c r="D2861" s="78"/>
      <c r="E2861" s="80">
        <f ca="1">IFERROR(__xludf.DUMMYFUNCTION("""COMPUTED_VALUE"""),0)</f>
        <v>0</v>
      </c>
      <c r="F2861" s="77"/>
      <c r="G2861" s="77"/>
    </row>
    <row r="2862" spans="1:7" ht="12.75" x14ac:dyDescent="0.2">
      <c r="A2862" s="78"/>
      <c r="B2862" s="78"/>
      <c r="C2862" s="78"/>
      <c r="D2862" s="78"/>
      <c r="E2862" s="80">
        <f ca="1">IFERROR(__xludf.DUMMYFUNCTION("""COMPUTED_VALUE"""),0)</f>
        <v>0</v>
      </c>
      <c r="F2862" s="77"/>
      <c r="G2862" s="77"/>
    </row>
    <row r="2863" spans="1:7" ht="12.75" x14ac:dyDescent="0.2">
      <c r="A2863" s="78"/>
      <c r="B2863" s="78"/>
      <c r="C2863" s="78"/>
      <c r="D2863" s="78"/>
      <c r="E2863" s="80">
        <f ca="1">IFERROR(__xludf.DUMMYFUNCTION("""COMPUTED_VALUE"""),0)</f>
        <v>0</v>
      </c>
      <c r="F2863" s="77"/>
      <c r="G2863" s="77"/>
    </row>
    <row r="2864" spans="1:7" ht="12.75" x14ac:dyDescent="0.2">
      <c r="A2864" s="78"/>
      <c r="B2864" s="78"/>
      <c r="C2864" s="78"/>
      <c r="D2864" s="78"/>
      <c r="E2864" s="80">
        <f ca="1">IFERROR(__xludf.DUMMYFUNCTION("""COMPUTED_VALUE"""),0)</f>
        <v>0</v>
      </c>
      <c r="F2864" s="77"/>
      <c r="G2864" s="77"/>
    </row>
    <row r="2865" spans="1:7" ht="12.75" x14ac:dyDescent="0.2">
      <c r="A2865" s="78"/>
      <c r="B2865" s="78"/>
      <c r="C2865" s="78"/>
      <c r="D2865" s="78"/>
      <c r="E2865" s="80">
        <f ca="1">IFERROR(__xludf.DUMMYFUNCTION("""COMPUTED_VALUE"""),0)</f>
        <v>0</v>
      </c>
      <c r="F2865" s="77"/>
      <c r="G2865" s="77"/>
    </row>
    <row r="2866" spans="1:7" ht="12.75" x14ac:dyDescent="0.2">
      <c r="A2866" s="78"/>
      <c r="B2866" s="78"/>
      <c r="C2866" s="78"/>
      <c r="D2866" s="78"/>
      <c r="E2866" s="80">
        <f ca="1">IFERROR(__xludf.DUMMYFUNCTION("""COMPUTED_VALUE"""),0)</f>
        <v>0</v>
      </c>
      <c r="F2866" s="77"/>
      <c r="G2866" s="77"/>
    </row>
    <row r="2867" spans="1:7" ht="12.75" x14ac:dyDescent="0.2">
      <c r="A2867" s="78"/>
      <c r="B2867" s="78"/>
      <c r="C2867" s="78"/>
      <c r="D2867" s="78"/>
      <c r="E2867" s="80">
        <f ca="1">IFERROR(__xludf.DUMMYFUNCTION("""COMPUTED_VALUE"""),0)</f>
        <v>0</v>
      </c>
      <c r="F2867" s="77"/>
      <c r="G2867" s="77"/>
    </row>
    <row r="2868" spans="1:7" ht="12.75" x14ac:dyDescent="0.2">
      <c r="A2868" s="78"/>
      <c r="B2868" s="78"/>
      <c r="C2868" s="78"/>
      <c r="D2868" s="78"/>
      <c r="E2868" s="80">
        <f ca="1">IFERROR(__xludf.DUMMYFUNCTION("""COMPUTED_VALUE"""),0)</f>
        <v>0</v>
      </c>
      <c r="F2868" s="77"/>
      <c r="G2868" s="77"/>
    </row>
    <row r="2869" spans="1:7" ht="12.75" x14ac:dyDescent="0.2">
      <c r="A2869" s="78"/>
      <c r="B2869" s="78"/>
      <c r="C2869" s="78"/>
      <c r="D2869" s="78"/>
      <c r="E2869" s="80">
        <f ca="1">IFERROR(__xludf.DUMMYFUNCTION("""COMPUTED_VALUE"""),0)</f>
        <v>0</v>
      </c>
      <c r="F2869" s="77"/>
      <c r="G2869" s="77"/>
    </row>
    <row r="2870" spans="1:7" ht="12.75" x14ac:dyDescent="0.2">
      <c r="A2870" s="78"/>
      <c r="B2870" s="78"/>
      <c r="C2870" s="78"/>
      <c r="D2870" s="78"/>
      <c r="E2870" s="80">
        <f ca="1">IFERROR(__xludf.DUMMYFUNCTION("""COMPUTED_VALUE"""),0)</f>
        <v>0</v>
      </c>
      <c r="F2870" s="77"/>
      <c r="G2870" s="77"/>
    </row>
    <row r="2871" spans="1:7" ht="12.75" x14ac:dyDescent="0.2">
      <c r="A2871" s="78"/>
      <c r="B2871" s="78"/>
      <c r="C2871" s="78"/>
      <c r="D2871" s="78"/>
      <c r="E2871" s="80">
        <f ca="1">IFERROR(__xludf.DUMMYFUNCTION("""COMPUTED_VALUE"""),0)</f>
        <v>0</v>
      </c>
      <c r="F2871" s="77"/>
      <c r="G2871" s="77"/>
    </row>
    <row r="2872" spans="1:7" ht="12.75" x14ac:dyDescent="0.2">
      <c r="A2872" s="78"/>
      <c r="B2872" s="78"/>
      <c r="C2872" s="78"/>
      <c r="D2872" s="78"/>
      <c r="E2872" s="80">
        <f ca="1">IFERROR(__xludf.DUMMYFUNCTION("""COMPUTED_VALUE"""),0)</f>
        <v>0</v>
      </c>
      <c r="F2872" s="77"/>
      <c r="G2872" s="77"/>
    </row>
    <row r="2873" spans="1:7" ht="12.75" x14ac:dyDescent="0.2">
      <c r="A2873" s="78"/>
      <c r="B2873" s="78"/>
      <c r="C2873" s="78"/>
      <c r="D2873" s="78"/>
      <c r="E2873" s="80">
        <f ca="1">IFERROR(__xludf.DUMMYFUNCTION("""COMPUTED_VALUE"""),0)</f>
        <v>0</v>
      </c>
      <c r="F2873" s="77"/>
      <c r="G2873" s="77"/>
    </row>
    <row r="2874" spans="1:7" ht="12.75" x14ac:dyDescent="0.2">
      <c r="A2874" s="78"/>
      <c r="B2874" s="78"/>
      <c r="C2874" s="78"/>
      <c r="D2874" s="78"/>
      <c r="E2874" s="80">
        <f ca="1">IFERROR(__xludf.DUMMYFUNCTION("""COMPUTED_VALUE"""),0)</f>
        <v>0</v>
      </c>
      <c r="F2874" s="77"/>
      <c r="G2874" s="77"/>
    </row>
    <row r="2875" spans="1:7" ht="12.75" x14ac:dyDescent="0.2">
      <c r="A2875" s="78"/>
      <c r="B2875" s="78"/>
      <c r="C2875" s="78"/>
      <c r="D2875" s="78"/>
      <c r="E2875" s="80">
        <f ca="1">IFERROR(__xludf.DUMMYFUNCTION("""COMPUTED_VALUE"""),0)</f>
        <v>0</v>
      </c>
      <c r="F2875" s="77"/>
      <c r="G2875" s="77"/>
    </row>
    <row r="2876" spans="1:7" ht="12.75" x14ac:dyDescent="0.2">
      <c r="A2876" s="78"/>
      <c r="B2876" s="78"/>
      <c r="C2876" s="78"/>
      <c r="D2876" s="78"/>
      <c r="E2876" s="80">
        <f ca="1">IFERROR(__xludf.DUMMYFUNCTION("""COMPUTED_VALUE"""),0)</f>
        <v>0</v>
      </c>
      <c r="F2876" s="77"/>
      <c r="G2876" s="77"/>
    </row>
    <row r="2877" spans="1:7" ht="12.75" x14ac:dyDescent="0.2">
      <c r="A2877" s="78"/>
      <c r="B2877" s="78"/>
      <c r="C2877" s="78"/>
      <c r="D2877" s="78"/>
      <c r="E2877" s="80">
        <f ca="1">IFERROR(__xludf.DUMMYFUNCTION("""COMPUTED_VALUE"""),0)</f>
        <v>0</v>
      </c>
      <c r="F2877" s="77"/>
      <c r="G2877" s="77"/>
    </row>
    <row r="2878" spans="1:7" ht="12.75" x14ac:dyDescent="0.2">
      <c r="A2878" s="78"/>
      <c r="B2878" s="78"/>
      <c r="C2878" s="78"/>
      <c r="D2878" s="78"/>
      <c r="E2878" s="80">
        <f ca="1">IFERROR(__xludf.DUMMYFUNCTION("""COMPUTED_VALUE"""),0)</f>
        <v>0</v>
      </c>
      <c r="F2878" s="77"/>
      <c r="G2878" s="77"/>
    </row>
    <row r="2879" spans="1:7" ht="12.75" x14ac:dyDescent="0.2">
      <c r="A2879" s="78"/>
      <c r="B2879" s="78"/>
      <c r="C2879" s="78"/>
      <c r="D2879" s="78"/>
      <c r="E2879" s="80">
        <f ca="1">IFERROR(__xludf.DUMMYFUNCTION("""COMPUTED_VALUE"""),0)</f>
        <v>0</v>
      </c>
      <c r="F2879" s="77"/>
      <c r="G2879" s="77"/>
    </row>
    <row r="2880" spans="1:7" ht="12.75" x14ac:dyDescent="0.2">
      <c r="A2880" s="78"/>
      <c r="B2880" s="78"/>
      <c r="C2880" s="78"/>
      <c r="D2880" s="78"/>
      <c r="E2880" s="80">
        <f ca="1">IFERROR(__xludf.DUMMYFUNCTION("""COMPUTED_VALUE"""),0)</f>
        <v>0</v>
      </c>
      <c r="F2880" s="77"/>
      <c r="G2880" s="77"/>
    </row>
    <row r="2881" spans="1:7" ht="12.75" x14ac:dyDescent="0.2">
      <c r="A2881" s="78"/>
      <c r="B2881" s="78"/>
      <c r="C2881" s="78"/>
      <c r="D2881" s="78"/>
      <c r="E2881" s="80">
        <f ca="1">IFERROR(__xludf.DUMMYFUNCTION("""COMPUTED_VALUE"""),0)</f>
        <v>0</v>
      </c>
      <c r="F2881" s="77"/>
      <c r="G2881" s="77"/>
    </row>
    <row r="2882" spans="1:7" ht="12.75" x14ac:dyDescent="0.2">
      <c r="A2882" s="78"/>
      <c r="B2882" s="78"/>
      <c r="C2882" s="78"/>
      <c r="D2882" s="78"/>
      <c r="E2882" s="80">
        <f ca="1">IFERROR(__xludf.DUMMYFUNCTION("""COMPUTED_VALUE"""),0)</f>
        <v>0</v>
      </c>
      <c r="F2882" s="77"/>
      <c r="G2882" s="77"/>
    </row>
    <row r="2883" spans="1:7" ht="12.75" x14ac:dyDescent="0.2">
      <c r="A2883" s="78"/>
      <c r="B2883" s="78"/>
      <c r="C2883" s="78"/>
      <c r="D2883" s="78"/>
      <c r="E2883" s="80">
        <f ca="1">IFERROR(__xludf.DUMMYFUNCTION("""COMPUTED_VALUE"""),0)</f>
        <v>0</v>
      </c>
      <c r="F2883" s="77"/>
      <c r="G2883" s="77"/>
    </row>
    <row r="2884" spans="1:7" ht="12.75" x14ac:dyDescent="0.2">
      <c r="A2884" s="78"/>
      <c r="B2884" s="78"/>
      <c r="C2884" s="78"/>
      <c r="D2884" s="78"/>
      <c r="E2884" s="80">
        <f ca="1">IFERROR(__xludf.DUMMYFUNCTION("""COMPUTED_VALUE"""),0)</f>
        <v>0</v>
      </c>
      <c r="F2884" s="77"/>
      <c r="G2884" s="77"/>
    </row>
    <row r="2885" spans="1:7" ht="12.75" x14ac:dyDescent="0.2">
      <c r="A2885" s="78"/>
      <c r="B2885" s="78"/>
      <c r="C2885" s="78"/>
      <c r="D2885" s="78"/>
      <c r="E2885" s="80">
        <f ca="1">IFERROR(__xludf.DUMMYFUNCTION("""COMPUTED_VALUE"""),0)</f>
        <v>0</v>
      </c>
      <c r="F2885" s="77"/>
      <c r="G2885" s="77"/>
    </row>
    <row r="2886" spans="1:7" ht="12.75" x14ac:dyDescent="0.2">
      <c r="A2886" s="78"/>
      <c r="B2886" s="78"/>
      <c r="C2886" s="78"/>
      <c r="D2886" s="78"/>
      <c r="E2886" s="80">
        <f ca="1">IFERROR(__xludf.DUMMYFUNCTION("""COMPUTED_VALUE"""),0)</f>
        <v>0</v>
      </c>
      <c r="F2886" s="77"/>
      <c r="G2886" s="77"/>
    </row>
    <row r="2887" spans="1:7" ht="12.75" x14ac:dyDescent="0.2">
      <c r="A2887" s="78"/>
      <c r="B2887" s="78"/>
      <c r="C2887" s="78"/>
      <c r="D2887" s="78"/>
      <c r="E2887" s="80">
        <f ca="1">IFERROR(__xludf.DUMMYFUNCTION("""COMPUTED_VALUE"""),0)</f>
        <v>0</v>
      </c>
      <c r="F2887" s="77"/>
      <c r="G2887" s="77"/>
    </row>
    <row r="2888" spans="1:7" ht="12.75" x14ac:dyDescent="0.2">
      <c r="A2888" s="78"/>
      <c r="B2888" s="78"/>
      <c r="C2888" s="78"/>
      <c r="D2888" s="78"/>
      <c r="E2888" s="80">
        <f ca="1">IFERROR(__xludf.DUMMYFUNCTION("""COMPUTED_VALUE"""),0)</f>
        <v>0</v>
      </c>
      <c r="F2888" s="77"/>
      <c r="G2888" s="77"/>
    </row>
    <row r="2889" spans="1:7" ht="12.75" x14ac:dyDescent="0.2">
      <c r="A2889" s="78"/>
      <c r="B2889" s="78"/>
      <c r="C2889" s="78"/>
      <c r="D2889" s="78"/>
      <c r="E2889" s="80">
        <f ca="1">IFERROR(__xludf.DUMMYFUNCTION("""COMPUTED_VALUE"""),0)</f>
        <v>0</v>
      </c>
      <c r="F2889" s="77"/>
      <c r="G2889" s="77"/>
    </row>
    <row r="2890" spans="1:7" ht="12.75" x14ac:dyDescent="0.2">
      <c r="A2890" s="78"/>
      <c r="B2890" s="78"/>
      <c r="C2890" s="78"/>
      <c r="D2890" s="78"/>
      <c r="E2890" s="80">
        <f ca="1">IFERROR(__xludf.DUMMYFUNCTION("""COMPUTED_VALUE"""),0)</f>
        <v>0</v>
      </c>
      <c r="F2890" s="77"/>
      <c r="G2890" s="77"/>
    </row>
    <row r="2891" spans="1:7" ht="12.75" x14ac:dyDescent="0.2">
      <c r="A2891" s="78"/>
      <c r="B2891" s="78"/>
      <c r="C2891" s="78"/>
      <c r="D2891" s="78"/>
      <c r="E2891" s="80">
        <f ca="1">IFERROR(__xludf.DUMMYFUNCTION("""COMPUTED_VALUE"""),0)</f>
        <v>0</v>
      </c>
      <c r="F2891" s="77"/>
      <c r="G2891" s="77"/>
    </row>
    <row r="2892" spans="1:7" ht="12.75" x14ac:dyDescent="0.2">
      <c r="A2892" s="78"/>
      <c r="B2892" s="78"/>
      <c r="C2892" s="78"/>
      <c r="D2892" s="78"/>
      <c r="E2892" s="80">
        <f ca="1">IFERROR(__xludf.DUMMYFUNCTION("""COMPUTED_VALUE"""),0)</f>
        <v>0</v>
      </c>
      <c r="F2892" s="77"/>
      <c r="G2892" s="77"/>
    </row>
    <row r="2893" spans="1:7" ht="12.75" x14ac:dyDescent="0.2">
      <c r="A2893" s="78"/>
      <c r="B2893" s="78"/>
      <c r="C2893" s="78"/>
      <c r="D2893" s="78"/>
      <c r="E2893" s="80">
        <f ca="1">IFERROR(__xludf.DUMMYFUNCTION("""COMPUTED_VALUE"""),0)</f>
        <v>0</v>
      </c>
      <c r="F2893" s="77"/>
      <c r="G2893" s="77"/>
    </row>
    <row r="2894" spans="1:7" ht="12.75" x14ac:dyDescent="0.2">
      <c r="A2894" s="78"/>
      <c r="B2894" s="78"/>
      <c r="C2894" s="78"/>
      <c r="D2894" s="78"/>
      <c r="E2894" s="80">
        <f ca="1">IFERROR(__xludf.DUMMYFUNCTION("""COMPUTED_VALUE"""),0)</f>
        <v>0</v>
      </c>
      <c r="F2894" s="77"/>
      <c r="G2894" s="77"/>
    </row>
    <row r="2895" spans="1:7" ht="12.75" x14ac:dyDescent="0.2">
      <c r="A2895" s="78"/>
      <c r="B2895" s="78"/>
      <c r="C2895" s="78"/>
      <c r="D2895" s="78"/>
      <c r="E2895" s="80">
        <f ca="1">IFERROR(__xludf.DUMMYFUNCTION("""COMPUTED_VALUE"""),0)</f>
        <v>0</v>
      </c>
      <c r="F2895" s="77"/>
      <c r="G2895" s="77"/>
    </row>
    <row r="2896" spans="1:7" ht="12.75" x14ac:dyDescent="0.2">
      <c r="A2896" s="78"/>
      <c r="B2896" s="78"/>
      <c r="C2896" s="78"/>
      <c r="D2896" s="78"/>
      <c r="E2896" s="80">
        <f ca="1">IFERROR(__xludf.DUMMYFUNCTION("""COMPUTED_VALUE"""),0)</f>
        <v>0</v>
      </c>
      <c r="F2896" s="77"/>
      <c r="G2896" s="77"/>
    </row>
    <row r="2897" spans="1:7" ht="12.75" x14ac:dyDescent="0.2">
      <c r="A2897" s="78"/>
      <c r="B2897" s="78"/>
      <c r="C2897" s="78"/>
      <c r="D2897" s="78"/>
      <c r="E2897" s="80">
        <f ca="1">IFERROR(__xludf.DUMMYFUNCTION("""COMPUTED_VALUE"""),0)</f>
        <v>0</v>
      </c>
      <c r="F2897" s="77"/>
      <c r="G2897" s="77"/>
    </row>
    <row r="2898" spans="1:7" ht="12.75" x14ac:dyDescent="0.2">
      <c r="A2898" s="78"/>
      <c r="B2898" s="78"/>
      <c r="C2898" s="78"/>
      <c r="D2898" s="78"/>
      <c r="E2898" s="80">
        <f ca="1">IFERROR(__xludf.DUMMYFUNCTION("""COMPUTED_VALUE"""),0)</f>
        <v>0</v>
      </c>
      <c r="F2898" s="77"/>
      <c r="G2898" s="77"/>
    </row>
    <row r="2899" spans="1:7" ht="12.75" x14ac:dyDescent="0.2">
      <c r="A2899" s="78"/>
      <c r="B2899" s="78"/>
      <c r="C2899" s="78"/>
      <c r="D2899" s="78"/>
      <c r="E2899" s="80">
        <f ca="1">IFERROR(__xludf.DUMMYFUNCTION("""COMPUTED_VALUE"""),0)</f>
        <v>0</v>
      </c>
      <c r="F2899" s="77"/>
      <c r="G2899" s="77"/>
    </row>
    <row r="2900" spans="1:7" ht="12.75" x14ac:dyDescent="0.2">
      <c r="A2900" s="78"/>
      <c r="B2900" s="78"/>
      <c r="C2900" s="78"/>
      <c r="D2900" s="78"/>
      <c r="E2900" s="80">
        <f ca="1">IFERROR(__xludf.DUMMYFUNCTION("""COMPUTED_VALUE"""),0)</f>
        <v>0</v>
      </c>
      <c r="F2900" s="77"/>
      <c r="G2900" s="77"/>
    </row>
    <row r="2901" spans="1:7" ht="12.75" x14ac:dyDescent="0.2">
      <c r="A2901" s="78"/>
      <c r="B2901" s="78"/>
      <c r="C2901" s="78"/>
      <c r="D2901" s="78"/>
      <c r="E2901" s="80">
        <f ca="1">IFERROR(__xludf.DUMMYFUNCTION("""COMPUTED_VALUE"""),0)</f>
        <v>0</v>
      </c>
      <c r="F2901" s="77"/>
      <c r="G2901" s="77"/>
    </row>
    <row r="2902" spans="1:7" ht="12.75" x14ac:dyDescent="0.2">
      <c r="A2902" s="78"/>
      <c r="B2902" s="78"/>
      <c r="C2902" s="78"/>
      <c r="D2902" s="78"/>
      <c r="E2902" s="80">
        <f ca="1">IFERROR(__xludf.DUMMYFUNCTION("""COMPUTED_VALUE"""),0)</f>
        <v>0</v>
      </c>
      <c r="F2902" s="77"/>
      <c r="G2902" s="77"/>
    </row>
    <row r="2903" spans="1:7" ht="12.75" x14ac:dyDescent="0.2">
      <c r="A2903" s="78"/>
      <c r="B2903" s="78"/>
      <c r="C2903" s="78"/>
      <c r="D2903" s="78"/>
      <c r="E2903" s="80">
        <f ca="1">IFERROR(__xludf.DUMMYFUNCTION("""COMPUTED_VALUE"""),0)</f>
        <v>0</v>
      </c>
      <c r="F2903" s="77"/>
      <c r="G2903" s="77"/>
    </row>
    <row r="2904" spans="1:7" ht="12.75" x14ac:dyDescent="0.2">
      <c r="A2904" s="78"/>
      <c r="B2904" s="78"/>
      <c r="C2904" s="78"/>
      <c r="D2904" s="78"/>
      <c r="E2904" s="80">
        <f ca="1">IFERROR(__xludf.DUMMYFUNCTION("""COMPUTED_VALUE"""),0)</f>
        <v>0</v>
      </c>
      <c r="F2904" s="77"/>
      <c r="G2904" s="77"/>
    </row>
    <row r="2905" spans="1:7" ht="12.75" x14ac:dyDescent="0.2">
      <c r="A2905" s="78"/>
      <c r="B2905" s="78"/>
      <c r="C2905" s="78"/>
      <c r="D2905" s="78"/>
      <c r="E2905" s="80">
        <f ca="1">IFERROR(__xludf.DUMMYFUNCTION("""COMPUTED_VALUE"""),0)</f>
        <v>0</v>
      </c>
      <c r="F2905" s="77"/>
      <c r="G2905" s="77"/>
    </row>
    <row r="2906" spans="1:7" ht="12.75" x14ac:dyDescent="0.2">
      <c r="A2906" s="78"/>
      <c r="B2906" s="78"/>
      <c r="C2906" s="78"/>
      <c r="D2906" s="78"/>
      <c r="E2906" s="80">
        <f ca="1">IFERROR(__xludf.DUMMYFUNCTION("""COMPUTED_VALUE"""),0)</f>
        <v>0</v>
      </c>
      <c r="F2906" s="77"/>
      <c r="G2906" s="77"/>
    </row>
    <row r="2907" spans="1:7" ht="12.75" x14ac:dyDescent="0.2">
      <c r="A2907" s="78"/>
      <c r="B2907" s="78"/>
      <c r="C2907" s="78"/>
      <c r="D2907" s="78"/>
      <c r="E2907" s="80">
        <f ca="1">IFERROR(__xludf.DUMMYFUNCTION("""COMPUTED_VALUE"""),0)</f>
        <v>0</v>
      </c>
      <c r="F2907" s="77"/>
      <c r="G2907" s="77"/>
    </row>
    <row r="2908" spans="1:7" ht="12.75" x14ac:dyDescent="0.2">
      <c r="A2908" s="78"/>
      <c r="B2908" s="78"/>
      <c r="C2908" s="78"/>
      <c r="D2908" s="78"/>
      <c r="E2908" s="80">
        <f ca="1">IFERROR(__xludf.DUMMYFUNCTION("""COMPUTED_VALUE"""),0)</f>
        <v>0</v>
      </c>
      <c r="F2908" s="77"/>
      <c r="G2908" s="77"/>
    </row>
    <row r="2909" spans="1:7" ht="12.75" x14ac:dyDescent="0.2">
      <c r="A2909" s="78"/>
      <c r="B2909" s="78"/>
      <c r="C2909" s="78"/>
      <c r="D2909" s="78"/>
      <c r="E2909" s="80">
        <f ca="1">IFERROR(__xludf.DUMMYFUNCTION("""COMPUTED_VALUE"""),0)</f>
        <v>0</v>
      </c>
      <c r="F2909" s="77"/>
      <c r="G2909" s="77"/>
    </row>
    <row r="2910" spans="1:7" ht="12.75" x14ac:dyDescent="0.2">
      <c r="A2910" s="78"/>
      <c r="B2910" s="78"/>
      <c r="C2910" s="78"/>
      <c r="D2910" s="78"/>
      <c r="E2910" s="80">
        <f ca="1">IFERROR(__xludf.DUMMYFUNCTION("""COMPUTED_VALUE"""),0)</f>
        <v>0</v>
      </c>
      <c r="F2910" s="77"/>
      <c r="G2910" s="77"/>
    </row>
    <row r="2911" spans="1:7" ht="12.75" x14ac:dyDescent="0.2">
      <c r="A2911" s="78"/>
      <c r="B2911" s="78"/>
      <c r="C2911" s="78"/>
      <c r="D2911" s="78"/>
      <c r="E2911" s="80">
        <f ca="1">IFERROR(__xludf.DUMMYFUNCTION("""COMPUTED_VALUE"""),0)</f>
        <v>0</v>
      </c>
      <c r="F2911" s="77"/>
      <c r="G2911" s="77"/>
    </row>
    <row r="2912" spans="1:7" ht="12.75" x14ac:dyDescent="0.2">
      <c r="A2912" s="78"/>
      <c r="B2912" s="78"/>
      <c r="C2912" s="78"/>
      <c r="D2912" s="78"/>
      <c r="E2912" s="80">
        <f ca="1">IFERROR(__xludf.DUMMYFUNCTION("""COMPUTED_VALUE"""),0)</f>
        <v>0</v>
      </c>
      <c r="F2912" s="77"/>
      <c r="G2912" s="77"/>
    </row>
    <row r="2913" spans="1:7" ht="12.75" x14ac:dyDescent="0.2">
      <c r="A2913" s="78"/>
      <c r="B2913" s="78"/>
      <c r="C2913" s="78"/>
      <c r="D2913" s="78"/>
      <c r="E2913" s="80">
        <f ca="1">IFERROR(__xludf.DUMMYFUNCTION("""COMPUTED_VALUE"""),0)</f>
        <v>0</v>
      </c>
      <c r="F2913" s="77"/>
      <c r="G2913" s="77"/>
    </row>
    <row r="2914" spans="1:7" ht="12.75" x14ac:dyDescent="0.2">
      <c r="A2914" s="78"/>
      <c r="B2914" s="78"/>
      <c r="C2914" s="78"/>
      <c r="D2914" s="78"/>
      <c r="E2914" s="80">
        <f ca="1">IFERROR(__xludf.DUMMYFUNCTION("""COMPUTED_VALUE"""),0)</f>
        <v>0</v>
      </c>
      <c r="F2914" s="77"/>
      <c r="G2914" s="77"/>
    </row>
    <row r="2915" spans="1:7" ht="12.75" x14ac:dyDescent="0.2">
      <c r="A2915" s="78"/>
      <c r="B2915" s="78"/>
      <c r="C2915" s="78"/>
      <c r="D2915" s="78"/>
      <c r="E2915" s="80">
        <f ca="1">IFERROR(__xludf.DUMMYFUNCTION("""COMPUTED_VALUE"""),0)</f>
        <v>0</v>
      </c>
      <c r="F2915" s="77"/>
      <c r="G2915" s="77"/>
    </row>
    <row r="2916" spans="1:7" ht="12.75" x14ac:dyDescent="0.2">
      <c r="A2916" s="78"/>
      <c r="B2916" s="78"/>
      <c r="C2916" s="78"/>
      <c r="D2916" s="78"/>
      <c r="E2916" s="80">
        <f ca="1">IFERROR(__xludf.DUMMYFUNCTION("""COMPUTED_VALUE"""),0)</f>
        <v>0</v>
      </c>
      <c r="F2916" s="77"/>
      <c r="G2916" s="77"/>
    </row>
    <row r="2917" spans="1:7" ht="12.75" x14ac:dyDescent="0.2">
      <c r="A2917" s="78"/>
      <c r="B2917" s="78"/>
      <c r="C2917" s="78"/>
      <c r="D2917" s="78"/>
      <c r="E2917" s="80">
        <f ca="1">IFERROR(__xludf.DUMMYFUNCTION("""COMPUTED_VALUE"""),0)</f>
        <v>0</v>
      </c>
      <c r="F2917" s="77"/>
      <c r="G2917" s="77"/>
    </row>
    <row r="2918" spans="1:7" ht="12.75" x14ac:dyDescent="0.2">
      <c r="A2918" s="78"/>
      <c r="B2918" s="78"/>
      <c r="C2918" s="78"/>
      <c r="D2918" s="78"/>
      <c r="E2918" s="80">
        <f ca="1">IFERROR(__xludf.DUMMYFUNCTION("""COMPUTED_VALUE"""),0)</f>
        <v>0</v>
      </c>
      <c r="F2918" s="77"/>
      <c r="G2918" s="77"/>
    </row>
    <row r="2919" spans="1:7" ht="12.75" x14ac:dyDescent="0.2">
      <c r="A2919" s="78"/>
      <c r="B2919" s="78"/>
      <c r="C2919" s="78"/>
      <c r="D2919" s="78"/>
      <c r="E2919" s="80">
        <f ca="1">IFERROR(__xludf.DUMMYFUNCTION("""COMPUTED_VALUE"""),0)</f>
        <v>0</v>
      </c>
      <c r="F2919" s="77"/>
      <c r="G2919" s="77"/>
    </row>
    <row r="2920" spans="1:7" ht="12.75" x14ac:dyDescent="0.2">
      <c r="A2920" s="78"/>
      <c r="B2920" s="78"/>
      <c r="C2920" s="78"/>
      <c r="D2920" s="78"/>
      <c r="E2920" s="80">
        <f ca="1">IFERROR(__xludf.DUMMYFUNCTION("""COMPUTED_VALUE"""),0)</f>
        <v>0</v>
      </c>
      <c r="F2920" s="77"/>
      <c r="G2920" s="77"/>
    </row>
    <row r="2921" spans="1:7" ht="12.75" x14ac:dyDescent="0.2">
      <c r="A2921" s="78"/>
      <c r="B2921" s="78"/>
      <c r="C2921" s="78"/>
      <c r="D2921" s="78"/>
      <c r="E2921" s="80">
        <f ca="1">IFERROR(__xludf.DUMMYFUNCTION("""COMPUTED_VALUE"""),0)</f>
        <v>0</v>
      </c>
      <c r="F2921" s="77"/>
      <c r="G2921" s="77"/>
    </row>
    <row r="2922" spans="1:7" ht="12.75" x14ac:dyDescent="0.2">
      <c r="A2922" s="78"/>
      <c r="B2922" s="78"/>
      <c r="C2922" s="78"/>
      <c r="D2922" s="78"/>
      <c r="E2922" s="80">
        <f ca="1">IFERROR(__xludf.DUMMYFUNCTION("""COMPUTED_VALUE"""),0)</f>
        <v>0</v>
      </c>
      <c r="F2922" s="77"/>
      <c r="G2922" s="77"/>
    </row>
    <row r="2923" spans="1:7" ht="12.75" x14ac:dyDescent="0.2">
      <c r="A2923" s="78"/>
      <c r="B2923" s="78"/>
      <c r="C2923" s="78"/>
      <c r="D2923" s="78"/>
      <c r="E2923" s="80">
        <f ca="1">IFERROR(__xludf.DUMMYFUNCTION("""COMPUTED_VALUE"""),0)</f>
        <v>0</v>
      </c>
      <c r="F2923" s="77"/>
      <c r="G2923" s="77"/>
    </row>
    <row r="2924" spans="1:7" ht="12.75" x14ac:dyDescent="0.2">
      <c r="A2924" s="78"/>
      <c r="B2924" s="78"/>
      <c r="C2924" s="78"/>
      <c r="D2924" s="78"/>
      <c r="E2924" s="80">
        <f ca="1">IFERROR(__xludf.DUMMYFUNCTION("""COMPUTED_VALUE"""),0)</f>
        <v>0</v>
      </c>
      <c r="F2924" s="77"/>
      <c r="G2924" s="77"/>
    </row>
    <row r="2925" spans="1:7" ht="12.75" x14ac:dyDescent="0.2">
      <c r="A2925" s="78"/>
      <c r="B2925" s="78"/>
      <c r="C2925" s="78"/>
      <c r="D2925" s="78"/>
      <c r="E2925" s="80">
        <f ca="1">IFERROR(__xludf.DUMMYFUNCTION("""COMPUTED_VALUE"""),0)</f>
        <v>0</v>
      </c>
      <c r="F2925" s="77"/>
      <c r="G2925" s="77"/>
    </row>
    <row r="2926" spans="1:7" ht="12.75" x14ac:dyDescent="0.2">
      <c r="A2926" s="78"/>
      <c r="B2926" s="78"/>
      <c r="C2926" s="78"/>
      <c r="D2926" s="78"/>
      <c r="E2926" s="80">
        <f ca="1">IFERROR(__xludf.DUMMYFUNCTION("""COMPUTED_VALUE"""),0)</f>
        <v>0</v>
      </c>
      <c r="F2926" s="77"/>
      <c r="G2926" s="77"/>
    </row>
    <row r="2927" spans="1:7" ht="12.75" x14ac:dyDescent="0.2">
      <c r="A2927" s="78"/>
      <c r="B2927" s="78"/>
      <c r="C2927" s="78"/>
      <c r="D2927" s="78"/>
      <c r="E2927" s="80">
        <f ca="1">IFERROR(__xludf.DUMMYFUNCTION("""COMPUTED_VALUE"""),0)</f>
        <v>0</v>
      </c>
      <c r="F2927" s="77"/>
      <c r="G2927" s="77"/>
    </row>
    <row r="2928" spans="1:7" ht="12.75" x14ac:dyDescent="0.2">
      <c r="A2928" s="78"/>
      <c r="B2928" s="78"/>
      <c r="C2928" s="78"/>
      <c r="D2928" s="78"/>
      <c r="E2928" s="80">
        <f ca="1">IFERROR(__xludf.DUMMYFUNCTION("""COMPUTED_VALUE"""),0)</f>
        <v>0</v>
      </c>
      <c r="F2928" s="77"/>
      <c r="G2928" s="77"/>
    </row>
    <row r="2929" spans="1:7" ht="12.75" x14ac:dyDescent="0.2">
      <c r="A2929" s="78"/>
      <c r="B2929" s="78"/>
      <c r="C2929" s="78"/>
      <c r="D2929" s="78"/>
      <c r="E2929" s="80">
        <f ca="1">IFERROR(__xludf.DUMMYFUNCTION("""COMPUTED_VALUE"""),0)</f>
        <v>0</v>
      </c>
      <c r="F2929" s="77"/>
      <c r="G2929" s="77"/>
    </row>
    <row r="2930" spans="1:7" ht="12.75" x14ac:dyDescent="0.2">
      <c r="A2930" s="78"/>
      <c r="B2930" s="78"/>
      <c r="C2930" s="78"/>
      <c r="D2930" s="78"/>
      <c r="E2930" s="80">
        <f ca="1">IFERROR(__xludf.DUMMYFUNCTION("""COMPUTED_VALUE"""),0)</f>
        <v>0</v>
      </c>
      <c r="F2930" s="77"/>
      <c r="G2930" s="77"/>
    </row>
    <row r="2931" spans="1:7" ht="12.75" x14ac:dyDescent="0.2">
      <c r="A2931" s="78"/>
      <c r="B2931" s="78"/>
      <c r="C2931" s="78"/>
      <c r="D2931" s="78"/>
      <c r="E2931" s="80">
        <f ca="1">IFERROR(__xludf.DUMMYFUNCTION("""COMPUTED_VALUE"""),0)</f>
        <v>0</v>
      </c>
      <c r="F2931" s="77"/>
      <c r="G2931" s="77"/>
    </row>
    <row r="2932" spans="1:7" ht="12.75" x14ac:dyDescent="0.2">
      <c r="A2932" s="78"/>
      <c r="B2932" s="78"/>
      <c r="C2932" s="78"/>
      <c r="D2932" s="78"/>
      <c r="E2932" s="80">
        <f ca="1">IFERROR(__xludf.DUMMYFUNCTION("""COMPUTED_VALUE"""),0)</f>
        <v>0</v>
      </c>
      <c r="F2932" s="77"/>
      <c r="G2932" s="77"/>
    </row>
    <row r="2933" spans="1:7" ht="12.75" x14ac:dyDescent="0.2">
      <c r="A2933" s="78"/>
      <c r="B2933" s="78"/>
      <c r="C2933" s="78"/>
      <c r="D2933" s="78"/>
      <c r="E2933" s="80">
        <f ca="1">IFERROR(__xludf.DUMMYFUNCTION("""COMPUTED_VALUE"""),0)</f>
        <v>0</v>
      </c>
      <c r="F2933" s="77"/>
      <c r="G2933" s="77"/>
    </row>
    <row r="2934" spans="1:7" ht="12.75" x14ac:dyDescent="0.2">
      <c r="A2934" s="78"/>
      <c r="B2934" s="78"/>
      <c r="C2934" s="78"/>
      <c r="D2934" s="78"/>
      <c r="E2934" s="80">
        <f ca="1">IFERROR(__xludf.DUMMYFUNCTION("""COMPUTED_VALUE"""),0)</f>
        <v>0</v>
      </c>
      <c r="F2934" s="77"/>
      <c r="G2934" s="77"/>
    </row>
    <row r="2935" spans="1:7" ht="12.75" x14ac:dyDescent="0.2">
      <c r="A2935" s="78"/>
      <c r="B2935" s="78"/>
      <c r="C2935" s="78"/>
      <c r="D2935" s="78"/>
      <c r="E2935" s="80">
        <f ca="1">IFERROR(__xludf.DUMMYFUNCTION("""COMPUTED_VALUE"""),0)</f>
        <v>0</v>
      </c>
      <c r="F2935" s="77"/>
      <c r="G2935" s="77"/>
    </row>
    <row r="2936" spans="1:7" ht="12.75" x14ac:dyDescent="0.2">
      <c r="A2936" s="78"/>
      <c r="B2936" s="78"/>
      <c r="C2936" s="78"/>
      <c r="D2936" s="78"/>
      <c r="E2936" s="80">
        <f ca="1">IFERROR(__xludf.DUMMYFUNCTION("""COMPUTED_VALUE"""),0)</f>
        <v>0</v>
      </c>
      <c r="F2936" s="77"/>
      <c r="G2936" s="77"/>
    </row>
    <row r="2937" spans="1:7" ht="12.75" x14ac:dyDescent="0.2">
      <c r="A2937" s="78"/>
      <c r="B2937" s="78"/>
      <c r="C2937" s="78"/>
      <c r="D2937" s="78"/>
      <c r="E2937" s="80">
        <f ca="1">IFERROR(__xludf.DUMMYFUNCTION("""COMPUTED_VALUE"""),0)</f>
        <v>0</v>
      </c>
      <c r="F2937" s="77"/>
      <c r="G2937" s="77"/>
    </row>
    <row r="2938" spans="1:7" ht="12.75" x14ac:dyDescent="0.2">
      <c r="A2938" s="78"/>
      <c r="B2938" s="78"/>
      <c r="C2938" s="78"/>
      <c r="D2938" s="78"/>
      <c r="E2938" s="80">
        <f ca="1">IFERROR(__xludf.DUMMYFUNCTION("""COMPUTED_VALUE"""),0)</f>
        <v>0</v>
      </c>
      <c r="F2938" s="77"/>
      <c r="G2938" s="77"/>
    </row>
    <row r="2939" spans="1:7" ht="12.75" x14ac:dyDescent="0.2">
      <c r="A2939" s="78"/>
      <c r="B2939" s="78"/>
      <c r="C2939" s="78"/>
      <c r="D2939" s="78"/>
      <c r="E2939" s="80">
        <f ca="1">IFERROR(__xludf.DUMMYFUNCTION("""COMPUTED_VALUE"""),0)</f>
        <v>0</v>
      </c>
      <c r="F2939" s="77"/>
      <c r="G2939" s="77"/>
    </row>
    <row r="2940" spans="1:7" ht="12.75" x14ac:dyDescent="0.2">
      <c r="A2940" s="78"/>
      <c r="B2940" s="78"/>
      <c r="C2940" s="78"/>
      <c r="D2940" s="78"/>
      <c r="E2940" s="80">
        <f ca="1">IFERROR(__xludf.DUMMYFUNCTION("""COMPUTED_VALUE"""),0)</f>
        <v>0</v>
      </c>
      <c r="F2940" s="77"/>
      <c r="G2940" s="77"/>
    </row>
    <row r="2941" spans="1:7" ht="12.75" x14ac:dyDescent="0.2">
      <c r="A2941" s="78"/>
      <c r="B2941" s="78"/>
      <c r="C2941" s="78"/>
      <c r="D2941" s="78"/>
      <c r="E2941" s="80">
        <f ca="1">IFERROR(__xludf.DUMMYFUNCTION("""COMPUTED_VALUE"""),0)</f>
        <v>0</v>
      </c>
      <c r="F2941" s="77"/>
      <c r="G2941" s="77"/>
    </row>
    <row r="2942" spans="1:7" ht="12.75" x14ac:dyDescent="0.2">
      <c r="A2942" s="78"/>
      <c r="B2942" s="78"/>
      <c r="C2942" s="78"/>
      <c r="D2942" s="78"/>
      <c r="E2942" s="80">
        <f ca="1">IFERROR(__xludf.DUMMYFUNCTION("""COMPUTED_VALUE"""),0)</f>
        <v>0</v>
      </c>
      <c r="F2942" s="77"/>
      <c r="G2942" s="77"/>
    </row>
    <row r="2943" spans="1:7" ht="12.75" x14ac:dyDescent="0.2">
      <c r="A2943" s="78"/>
      <c r="B2943" s="78"/>
      <c r="C2943" s="78"/>
      <c r="D2943" s="78"/>
      <c r="E2943" s="80">
        <f ca="1">IFERROR(__xludf.DUMMYFUNCTION("""COMPUTED_VALUE"""),0)</f>
        <v>0</v>
      </c>
      <c r="F2943" s="77"/>
      <c r="G2943" s="77"/>
    </row>
    <row r="2944" spans="1:7" ht="12.75" x14ac:dyDescent="0.2">
      <c r="A2944" s="78"/>
      <c r="B2944" s="78"/>
      <c r="C2944" s="78"/>
      <c r="D2944" s="78"/>
      <c r="E2944" s="80">
        <f ca="1">IFERROR(__xludf.DUMMYFUNCTION("""COMPUTED_VALUE"""),0)</f>
        <v>0</v>
      </c>
      <c r="F2944" s="77"/>
      <c r="G2944" s="77"/>
    </row>
    <row r="2945" spans="1:7" ht="12.75" x14ac:dyDescent="0.2">
      <c r="A2945" s="78"/>
      <c r="B2945" s="78"/>
      <c r="C2945" s="78"/>
      <c r="D2945" s="78"/>
      <c r="E2945" s="80">
        <f ca="1">IFERROR(__xludf.DUMMYFUNCTION("""COMPUTED_VALUE"""),0)</f>
        <v>0</v>
      </c>
      <c r="F2945" s="77"/>
      <c r="G2945" s="77"/>
    </row>
    <row r="2946" spans="1:7" ht="12.75" x14ac:dyDescent="0.2">
      <c r="A2946" s="78"/>
      <c r="B2946" s="78"/>
      <c r="C2946" s="78"/>
      <c r="D2946" s="78"/>
      <c r="E2946" s="80">
        <f ca="1">IFERROR(__xludf.DUMMYFUNCTION("""COMPUTED_VALUE"""),0)</f>
        <v>0</v>
      </c>
      <c r="F2946" s="77"/>
      <c r="G2946" s="77"/>
    </row>
    <row r="2947" spans="1:7" ht="12.75" x14ac:dyDescent="0.2">
      <c r="A2947" s="78"/>
      <c r="B2947" s="78"/>
      <c r="C2947" s="78"/>
      <c r="D2947" s="78"/>
      <c r="E2947" s="80">
        <f ca="1">IFERROR(__xludf.DUMMYFUNCTION("""COMPUTED_VALUE"""),0)</f>
        <v>0</v>
      </c>
      <c r="F2947" s="77"/>
      <c r="G2947" s="77"/>
    </row>
    <row r="2948" spans="1:7" ht="12.75" x14ac:dyDescent="0.2">
      <c r="A2948" s="78"/>
      <c r="B2948" s="78"/>
      <c r="C2948" s="78"/>
      <c r="D2948" s="78"/>
      <c r="E2948" s="80">
        <f ca="1">IFERROR(__xludf.DUMMYFUNCTION("""COMPUTED_VALUE"""),0)</f>
        <v>0</v>
      </c>
      <c r="F2948" s="77"/>
      <c r="G2948" s="77"/>
    </row>
    <row r="2949" spans="1:7" ht="12.75" x14ac:dyDescent="0.2">
      <c r="A2949" s="78"/>
      <c r="B2949" s="78"/>
      <c r="C2949" s="78"/>
      <c r="D2949" s="78"/>
      <c r="E2949" s="80">
        <f ca="1">IFERROR(__xludf.DUMMYFUNCTION("""COMPUTED_VALUE"""),0)</f>
        <v>0</v>
      </c>
      <c r="F2949" s="77"/>
      <c r="G2949" s="77"/>
    </row>
    <row r="2950" spans="1:7" ht="12.75" x14ac:dyDescent="0.2">
      <c r="A2950" s="78"/>
      <c r="B2950" s="78"/>
      <c r="C2950" s="78"/>
      <c r="D2950" s="78"/>
      <c r="E2950" s="80">
        <f ca="1">IFERROR(__xludf.DUMMYFUNCTION("""COMPUTED_VALUE"""),0)</f>
        <v>0</v>
      </c>
      <c r="F2950" s="77"/>
      <c r="G2950" s="77"/>
    </row>
    <row r="2951" spans="1:7" ht="12.75" x14ac:dyDescent="0.2">
      <c r="A2951" s="78"/>
      <c r="B2951" s="78"/>
      <c r="C2951" s="78"/>
      <c r="D2951" s="78"/>
      <c r="E2951" s="80">
        <f ca="1">IFERROR(__xludf.DUMMYFUNCTION("""COMPUTED_VALUE"""),0)</f>
        <v>0</v>
      </c>
      <c r="F2951" s="77"/>
      <c r="G2951" s="77"/>
    </row>
    <row r="2952" spans="1:7" ht="12.75" x14ac:dyDescent="0.2">
      <c r="A2952" s="78"/>
      <c r="B2952" s="78"/>
      <c r="C2952" s="78"/>
      <c r="D2952" s="78"/>
      <c r="E2952" s="80">
        <f ca="1">IFERROR(__xludf.DUMMYFUNCTION("""COMPUTED_VALUE"""),0)</f>
        <v>0</v>
      </c>
      <c r="F2952" s="77"/>
      <c r="G2952" s="77"/>
    </row>
    <row r="2953" spans="1:7" ht="12.75" x14ac:dyDescent="0.2">
      <c r="A2953" s="78"/>
      <c r="B2953" s="78"/>
      <c r="C2953" s="78"/>
      <c r="D2953" s="78"/>
      <c r="E2953" s="80">
        <f ca="1">IFERROR(__xludf.DUMMYFUNCTION("""COMPUTED_VALUE"""),0)</f>
        <v>0</v>
      </c>
      <c r="F2953" s="77"/>
      <c r="G2953" s="77"/>
    </row>
    <row r="2954" spans="1:7" ht="12.75" x14ac:dyDescent="0.2">
      <c r="A2954" s="78"/>
      <c r="B2954" s="78"/>
      <c r="C2954" s="78"/>
      <c r="D2954" s="78"/>
      <c r="E2954" s="80">
        <f ca="1">IFERROR(__xludf.DUMMYFUNCTION("""COMPUTED_VALUE"""),0)</f>
        <v>0</v>
      </c>
      <c r="F2954" s="77"/>
      <c r="G2954" s="77"/>
    </row>
    <row r="2955" spans="1:7" ht="12.75" x14ac:dyDescent="0.2">
      <c r="A2955" s="78"/>
      <c r="B2955" s="78"/>
      <c r="C2955" s="78"/>
      <c r="D2955" s="78"/>
      <c r="E2955" s="80">
        <f ca="1">IFERROR(__xludf.DUMMYFUNCTION("""COMPUTED_VALUE"""),0)</f>
        <v>0</v>
      </c>
      <c r="F2955" s="77"/>
      <c r="G2955" s="77"/>
    </row>
    <row r="2956" spans="1:7" ht="12.75" x14ac:dyDescent="0.2">
      <c r="A2956" s="78"/>
      <c r="B2956" s="78"/>
      <c r="C2956" s="78"/>
      <c r="D2956" s="78"/>
      <c r="E2956" s="80">
        <f ca="1">IFERROR(__xludf.DUMMYFUNCTION("""COMPUTED_VALUE"""),0)</f>
        <v>0</v>
      </c>
      <c r="F2956" s="77"/>
      <c r="G2956" s="77"/>
    </row>
    <row r="2957" spans="1:7" ht="12.75" x14ac:dyDescent="0.2">
      <c r="A2957" s="78"/>
      <c r="B2957" s="78"/>
      <c r="C2957" s="78"/>
      <c r="D2957" s="78"/>
      <c r="E2957" s="80">
        <f ca="1">IFERROR(__xludf.DUMMYFUNCTION("""COMPUTED_VALUE"""),0)</f>
        <v>0</v>
      </c>
      <c r="F2957" s="77"/>
      <c r="G2957" s="77"/>
    </row>
    <row r="2958" spans="1:7" ht="12.75" x14ac:dyDescent="0.2">
      <c r="A2958" s="78"/>
      <c r="B2958" s="78"/>
      <c r="C2958" s="78"/>
      <c r="D2958" s="78"/>
      <c r="E2958" s="80">
        <f ca="1">IFERROR(__xludf.DUMMYFUNCTION("""COMPUTED_VALUE"""),0)</f>
        <v>0</v>
      </c>
      <c r="F2958" s="77"/>
      <c r="G2958" s="77"/>
    </row>
    <row r="2959" spans="1:7" ht="12.75" x14ac:dyDescent="0.2">
      <c r="A2959" s="78"/>
      <c r="B2959" s="78"/>
      <c r="C2959" s="78"/>
      <c r="D2959" s="78"/>
      <c r="E2959" s="80">
        <f ca="1">IFERROR(__xludf.DUMMYFUNCTION("""COMPUTED_VALUE"""),0)</f>
        <v>0</v>
      </c>
      <c r="F2959" s="77"/>
      <c r="G2959" s="77"/>
    </row>
    <row r="2960" spans="1:7" ht="12.75" x14ac:dyDescent="0.2">
      <c r="A2960" s="78"/>
      <c r="B2960" s="78"/>
      <c r="C2960" s="78"/>
      <c r="D2960" s="78"/>
      <c r="E2960" s="80">
        <f ca="1">IFERROR(__xludf.DUMMYFUNCTION("""COMPUTED_VALUE"""),0)</f>
        <v>0</v>
      </c>
      <c r="F2960" s="77"/>
      <c r="G2960" s="77"/>
    </row>
    <row r="2961" spans="1:7" ht="12.75" x14ac:dyDescent="0.2">
      <c r="A2961" s="78"/>
      <c r="B2961" s="78"/>
      <c r="C2961" s="78"/>
      <c r="D2961" s="78"/>
      <c r="E2961" s="80">
        <f ca="1">IFERROR(__xludf.DUMMYFUNCTION("""COMPUTED_VALUE"""),0)</f>
        <v>0</v>
      </c>
      <c r="F2961" s="77"/>
      <c r="G2961" s="77"/>
    </row>
    <row r="2962" spans="1:7" ht="12.75" x14ac:dyDescent="0.2">
      <c r="A2962" s="78"/>
      <c r="B2962" s="78"/>
      <c r="C2962" s="78"/>
      <c r="D2962" s="78"/>
      <c r="E2962" s="80">
        <f ca="1">IFERROR(__xludf.DUMMYFUNCTION("""COMPUTED_VALUE"""),0)</f>
        <v>0</v>
      </c>
      <c r="F2962" s="77"/>
      <c r="G2962" s="77"/>
    </row>
    <row r="2963" spans="1:7" ht="12.75" x14ac:dyDescent="0.2">
      <c r="A2963" s="78"/>
      <c r="B2963" s="78"/>
      <c r="C2963" s="78"/>
      <c r="D2963" s="78"/>
      <c r="E2963" s="80">
        <f ca="1">IFERROR(__xludf.DUMMYFUNCTION("""COMPUTED_VALUE"""),0)</f>
        <v>0</v>
      </c>
      <c r="F2963" s="77"/>
      <c r="G2963" s="77"/>
    </row>
    <row r="2964" spans="1:7" ht="12.75" x14ac:dyDescent="0.2">
      <c r="A2964" s="78"/>
      <c r="B2964" s="78"/>
      <c r="C2964" s="78"/>
      <c r="D2964" s="78"/>
      <c r="E2964" s="80">
        <f ca="1">IFERROR(__xludf.DUMMYFUNCTION("""COMPUTED_VALUE"""),0)</f>
        <v>0</v>
      </c>
      <c r="F2964" s="77"/>
      <c r="G2964" s="77"/>
    </row>
    <row r="2965" spans="1:7" ht="12.75" x14ac:dyDescent="0.2">
      <c r="A2965" s="78"/>
      <c r="B2965" s="78"/>
      <c r="C2965" s="78"/>
      <c r="D2965" s="78"/>
      <c r="E2965" s="80">
        <f ca="1">IFERROR(__xludf.DUMMYFUNCTION("""COMPUTED_VALUE"""),0)</f>
        <v>0</v>
      </c>
      <c r="F2965" s="77"/>
      <c r="G2965" s="77"/>
    </row>
    <row r="2966" spans="1:7" ht="12.75" x14ac:dyDescent="0.2">
      <c r="A2966" s="78"/>
      <c r="B2966" s="78"/>
      <c r="C2966" s="78"/>
      <c r="D2966" s="78"/>
      <c r="E2966" s="80">
        <f ca="1">IFERROR(__xludf.DUMMYFUNCTION("""COMPUTED_VALUE"""),0)</f>
        <v>0</v>
      </c>
      <c r="F2966" s="77"/>
      <c r="G2966" s="77"/>
    </row>
    <row r="2967" spans="1:7" ht="12.75" x14ac:dyDescent="0.2">
      <c r="A2967" s="78"/>
      <c r="B2967" s="78"/>
      <c r="C2967" s="78"/>
      <c r="D2967" s="78"/>
      <c r="E2967" s="80">
        <f ca="1">IFERROR(__xludf.DUMMYFUNCTION("""COMPUTED_VALUE"""),0)</f>
        <v>0</v>
      </c>
      <c r="F2967" s="77"/>
      <c r="G2967" s="77"/>
    </row>
    <row r="2968" spans="1:7" ht="12.75" x14ac:dyDescent="0.2">
      <c r="A2968" s="78"/>
      <c r="B2968" s="78"/>
      <c r="C2968" s="78"/>
      <c r="D2968" s="78"/>
      <c r="E2968" s="80">
        <f ca="1">IFERROR(__xludf.DUMMYFUNCTION("""COMPUTED_VALUE"""),0)</f>
        <v>0</v>
      </c>
      <c r="F2968" s="77"/>
      <c r="G2968" s="77"/>
    </row>
    <row r="2969" spans="1:7" ht="12.75" x14ac:dyDescent="0.2">
      <c r="A2969" s="78"/>
      <c r="B2969" s="78"/>
      <c r="C2969" s="78"/>
      <c r="D2969" s="78"/>
      <c r="E2969" s="80">
        <f ca="1">IFERROR(__xludf.DUMMYFUNCTION("""COMPUTED_VALUE"""),0)</f>
        <v>0</v>
      </c>
      <c r="F2969" s="77"/>
      <c r="G2969" s="77"/>
    </row>
    <row r="2970" spans="1:7" ht="12.75" x14ac:dyDescent="0.2">
      <c r="A2970" s="78"/>
      <c r="B2970" s="78"/>
      <c r="C2970" s="78"/>
      <c r="D2970" s="78"/>
      <c r="E2970" s="80">
        <f ca="1">IFERROR(__xludf.DUMMYFUNCTION("""COMPUTED_VALUE"""),0)</f>
        <v>0</v>
      </c>
      <c r="F2970" s="77"/>
      <c r="G2970" s="77"/>
    </row>
    <row r="2971" spans="1:7" ht="12.75" x14ac:dyDescent="0.2">
      <c r="A2971" s="78"/>
      <c r="B2971" s="78"/>
      <c r="C2971" s="78"/>
      <c r="D2971" s="78"/>
      <c r="E2971" s="80">
        <f ca="1">IFERROR(__xludf.DUMMYFUNCTION("""COMPUTED_VALUE"""),0)</f>
        <v>0</v>
      </c>
      <c r="F2971" s="77"/>
      <c r="G2971" s="77"/>
    </row>
    <row r="2972" spans="1:7" ht="12.75" x14ac:dyDescent="0.2">
      <c r="A2972" s="78"/>
      <c r="B2972" s="78"/>
      <c r="C2972" s="78"/>
      <c r="D2972" s="78"/>
      <c r="E2972" s="80">
        <f ca="1">IFERROR(__xludf.DUMMYFUNCTION("""COMPUTED_VALUE"""),0)</f>
        <v>0</v>
      </c>
      <c r="F2972" s="77"/>
      <c r="G2972" s="77"/>
    </row>
    <row r="2973" spans="1:7" ht="12.75" x14ac:dyDescent="0.2">
      <c r="A2973" s="78"/>
      <c r="B2973" s="78"/>
      <c r="C2973" s="78"/>
      <c r="D2973" s="78"/>
      <c r="E2973" s="80">
        <f ca="1">IFERROR(__xludf.DUMMYFUNCTION("""COMPUTED_VALUE"""),0)</f>
        <v>0</v>
      </c>
      <c r="F2973" s="77"/>
      <c r="G2973" s="77"/>
    </row>
    <row r="2974" spans="1:7" ht="12.75" x14ac:dyDescent="0.2">
      <c r="A2974" s="78"/>
      <c r="B2974" s="78"/>
      <c r="C2974" s="78"/>
      <c r="D2974" s="78"/>
      <c r="E2974" s="80">
        <f ca="1">IFERROR(__xludf.DUMMYFUNCTION("""COMPUTED_VALUE"""),0)</f>
        <v>0</v>
      </c>
      <c r="F2974" s="77"/>
      <c r="G2974" s="77"/>
    </row>
    <row r="2975" spans="1:7" ht="12.75" x14ac:dyDescent="0.2">
      <c r="A2975" s="78"/>
      <c r="B2975" s="78"/>
      <c r="C2975" s="78"/>
      <c r="D2975" s="78"/>
      <c r="E2975" s="80">
        <f ca="1">IFERROR(__xludf.DUMMYFUNCTION("""COMPUTED_VALUE"""),0)</f>
        <v>0</v>
      </c>
      <c r="F2975" s="77"/>
      <c r="G2975" s="77"/>
    </row>
    <row r="2976" spans="1:7" ht="12.75" x14ac:dyDescent="0.2">
      <c r="A2976" s="78"/>
      <c r="B2976" s="78"/>
      <c r="C2976" s="78"/>
      <c r="D2976" s="78"/>
      <c r="E2976" s="80">
        <f ca="1">IFERROR(__xludf.DUMMYFUNCTION("""COMPUTED_VALUE"""),0)</f>
        <v>0</v>
      </c>
      <c r="F2976" s="77"/>
      <c r="G2976" s="77"/>
    </row>
    <row r="2977" spans="1:7" ht="12.75" x14ac:dyDescent="0.2">
      <c r="A2977" s="78"/>
      <c r="B2977" s="78"/>
      <c r="C2977" s="78"/>
      <c r="D2977" s="78"/>
      <c r="E2977" s="80">
        <f ca="1">IFERROR(__xludf.DUMMYFUNCTION("""COMPUTED_VALUE"""),0)</f>
        <v>0</v>
      </c>
      <c r="F2977" s="77"/>
      <c r="G2977" s="77"/>
    </row>
    <row r="2978" spans="1:7" ht="12.75" x14ac:dyDescent="0.2">
      <c r="A2978" s="78"/>
      <c r="B2978" s="78"/>
      <c r="C2978" s="78"/>
      <c r="D2978" s="78"/>
      <c r="E2978" s="80">
        <f ca="1">IFERROR(__xludf.DUMMYFUNCTION("""COMPUTED_VALUE"""),0)</f>
        <v>0</v>
      </c>
      <c r="F2978" s="77"/>
      <c r="G2978" s="77"/>
    </row>
    <row r="2979" spans="1:7" ht="12.75" x14ac:dyDescent="0.2">
      <c r="A2979" s="78"/>
      <c r="B2979" s="78"/>
      <c r="C2979" s="78"/>
      <c r="D2979" s="78"/>
      <c r="E2979" s="80">
        <f ca="1">IFERROR(__xludf.DUMMYFUNCTION("""COMPUTED_VALUE"""),0)</f>
        <v>0</v>
      </c>
      <c r="F2979" s="77"/>
      <c r="G2979" s="77"/>
    </row>
    <row r="2980" spans="1:7" ht="12.75" x14ac:dyDescent="0.2">
      <c r="A2980" s="78"/>
      <c r="B2980" s="78"/>
      <c r="C2980" s="78"/>
      <c r="D2980" s="78"/>
      <c r="E2980" s="80">
        <f ca="1">IFERROR(__xludf.DUMMYFUNCTION("""COMPUTED_VALUE"""),0)</f>
        <v>0</v>
      </c>
      <c r="F2980" s="77"/>
      <c r="G2980" s="77"/>
    </row>
    <row r="2981" spans="1:7" ht="12.75" x14ac:dyDescent="0.2">
      <c r="A2981" s="78"/>
      <c r="B2981" s="78"/>
      <c r="C2981" s="78"/>
      <c r="D2981" s="78"/>
      <c r="E2981" s="80">
        <f ca="1">IFERROR(__xludf.DUMMYFUNCTION("""COMPUTED_VALUE"""),0)</f>
        <v>0</v>
      </c>
      <c r="F2981" s="77"/>
      <c r="G2981" s="77"/>
    </row>
    <row r="2982" spans="1:7" ht="12.75" x14ac:dyDescent="0.2">
      <c r="A2982" s="78"/>
      <c r="B2982" s="78"/>
      <c r="C2982" s="78"/>
      <c r="D2982" s="78"/>
      <c r="E2982" s="80">
        <f ca="1">IFERROR(__xludf.DUMMYFUNCTION("""COMPUTED_VALUE"""),0)</f>
        <v>0</v>
      </c>
      <c r="F2982" s="77"/>
      <c r="G2982" s="77"/>
    </row>
    <row r="2983" spans="1:7" ht="12.75" x14ac:dyDescent="0.2">
      <c r="A2983" s="78"/>
      <c r="B2983" s="78"/>
      <c r="C2983" s="78"/>
      <c r="D2983" s="78"/>
      <c r="E2983" s="80">
        <f ca="1">IFERROR(__xludf.DUMMYFUNCTION("""COMPUTED_VALUE"""),0)</f>
        <v>0</v>
      </c>
      <c r="F2983" s="77"/>
      <c r="G2983" s="77"/>
    </row>
    <row r="2984" spans="1:7" ht="12.75" x14ac:dyDescent="0.2">
      <c r="A2984" s="78"/>
      <c r="B2984" s="78"/>
      <c r="C2984" s="78"/>
      <c r="D2984" s="78"/>
      <c r="E2984" s="80">
        <f ca="1">IFERROR(__xludf.DUMMYFUNCTION("""COMPUTED_VALUE"""),0)</f>
        <v>0</v>
      </c>
      <c r="F2984" s="77"/>
      <c r="G2984" s="77"/>
    </row>
    <row r="2985" spans="1:7" ht="12.75" x14ac:dyDescent="0.2">
      <c r="A2985" s="78"/>
      <c r="B2985" s="78"/>
      <c r="C2985" s="78"/>
      <c r="D2985" s="78"/>
      <c r="E2985" s="80">
        <f ca="1">IFERROR(__xludf.DUMMYFUNCTION("""COMPUTED_VALUE"""),0)</f>
        <v>0</v>
      </c>
      <c r="F2985" s="77"/>
      <c r="G2985" s="77"/>
    </row>
    <row r="2986" spans="1:7" ht="12.75" x14ac:dyDescent="0.2">
      <c r="A2986" s="78"/>
      <c r="B2986" s="78"/>
      <c r="C2986" s="78"/>
      <c r="D2986" s="78"/>
      <c r="E2986" s="80">
        <f ca="1">IFERROR(__xludf.DUMMYFUNCTION("""COMPUTED_VALUE"""),0)</f>
        <v>0</v>
      </c>
      <c r="F2986" s="77"/>
      <c r="G2986" s="77"/>
    </row>
    <row r="2987" spans="1:7" ht="12.75" x14ac:dyDescent="0.2">
      <c r="A2987" s="78"/>
      <c r="B2987" s="78"/>
      <c r="C2987" s="78"/>
      <c r="D2987" s="78"/>
      <c r="E2987" s="80">
        <f ca="1">IFERROR(__xludf.DUMMYFUNCTION("""COMPUTED_VALUE"""),0)</f>
        <v>0</v>
      </c>
      <c r="F2987" s="77"/>
      <c r="G2987" s="77"/>
    </row>
    <row r="2988" spans="1:7" ht="12.75" x14ac:dyDescent="0.2">
      <c r="A2988" s="78"/>
      <c r="B2988" s="78"/>
      <c r="C2988" s="78"/>
      <c r="D2988" s="78"/>
      <c r="E2988" s="80">
        <f ca="1">IFERROR(__xludf.DUMMYFUNCTION("""COMPUTED_VALUE"""),0)</f>
        <v>0</v>
      </c>
      <c r="F2988" s="77"/>
      <c r="G2988" s="77"/>
    </row>
    <row r="2989" spans="1:7" ht="12.75" x14ac:dyDescent="0.2">
      <c r="A2989" s="78"/>
      <c r="B2989" s="78"/>
      <c r="C2989" s="78"/>
      <c r="D2989" s="78"/>
      <c r="E2989" s="80">
        <f ca="1">IFERROR(__xludf.DUMMYFUNCTION("""COMPUTED_VALUE"""),0)</f>
        <v>0</v>
      </c>
      <c r="F2989" s="77"/>
      <c r="G2989" s="77"/>
    </row>
    <row r="2990" spans="1:7" ht="12.75" x14ac:dyDescent="0.2">
      <c r="A2990" s="78"/>
      <c r="B2990" s="78"/>
      <c r="C2990" s="78"/>
      <c r="D2990" s="78"/>
      <c r="E2990" s="80">
        <f ca="1">IFERROR(__xludf.DUMMYFUNCTION("""COMPUTED_VALUE"""),0)</f>
        <v>0</v>
      </c>
      <c r="F2990" s="77"/>
      <c r="G2990" s="77"/>
    </row>
    <row r="2991" spans="1:7" ht="12.75" x14ac:dyDescent="0.2">
      <c r="A2991" s="78"/>
      <c r="B2991" s="78"/>
      <c r="C2991" s="78"/>
      <c r="D2991" s="78"/>
      <c r="E2991" s="80">
        <f ca="1">IFERROR(__xludf.DUMMYFUNCTION("""COMPUTED_VALUE"""),0)</f>
        <v>0</v>
      </c>
      <c r="F2991" s="77"/>
      <c r="G2991" s="77"/>
    </row>
    <row r="2992" spans="1:7" ht="12.75" x14ac:dyDescent="0.2">
      <c r="A2992" s="78"/>
      <c r="B2992" s="78"/>
      <c r="C2992" s="78"/>
      <c r="D2992" s="78"/>
      <c r="E2992" s="80">
        <f ca="1">IFERROR(__xludf.DUMMYFUNCTION("""COMPUTED_VALUE"""),0)</f>
        <v>0</v>
      </c>
      <c r="F2992" s="77"/>
      <c r="G2992" s="77"/>
    </row>
    <row r="2993" spans="1:7" ht="12.75" x14ac:dyDescent="0.2">
      <c r="A2993" s="78"/>
      <c r="B2993" s="78"/>
      <c r="C2993" s="78"/>
      <c r="D2993" s="78"/>
      <c r="E2993" s="80">
        <f ca="1">IFERROR(__xludf.DUMMYFUNCTION("""COMPUTED_VALUE"""),0)</f>
        <v>0</v>
      </c>
      <c r="F2993" s="77"/>
      <c r="G2993" s="77"/>
    </row>
    <row r="2994" spans="1:7" ht="12.75" x14ac:dyDescent="0.2">
      <c r="A2994" s="78"/>
      <c r="B2994" s="78"/>
      <c r="C2994" s="78"/>
      <c r="D2994" s="78"/>
      <c r="E2994" s="80">
        <f ca="1">IFERROR(__xludf.DUMMYFUNCTION("""COMPUTED_VALUE"""),0)</f>
        <v>0</v>
      </c>
      <c r="F2994" s="77"/>
      <c r="G2994" s="77"/>
    </row>
    <row r="2995" spans="1:7" ht="12.75" x14ac:dyDescent="0.2">
      <c r="A2995" s="78"/>
      <c r="B2995" s="78"/>
      <c r="C2995" s="78"/>
      <c r="D2995" s="78"/>
      <c r="E2995" s="80">
        <f ca="1">IFERROR(__xludf.DUMMYFUNCTION("""COMPUTED_VALUE"""),0)</f>
        <v>0</v>
      </c>
      <c r="F2995" s="77"/>
      <c r="G2995" s="77"/>
    </row>
    <row r="2996" spans="1:7" ht="12.75" x14ac:dyDescent="0.2">
      <c r="A2996" s="78"/>
      <c r="B2996" s="78"/>
      <c r="C2996" s="78"/>
      <c r="D2996" s="78"/>
      <c r="E2996" s="80">
        <f ca="1">IFERROR(__xludf.DUMMYFUNCTION("""COMPUTED_VALUE"""),0)</f>
        <v>0</v>
      </c>
      <c r="F2996" s="77"/>
      <c r="G2996" s="77"/>
    </row>
    <row r="2997" spans="1:7" ht="12.75" x14ac:dyDescent="0.2">
      <c r="A2997" s="78"/>
      <c r="B2997" s="78"/>
      <c r="C2997" s="78"/>
      <c r="D2997" s="78"/>
      <c r="E2997" s="80">
        <f ca="1">IFERROR(__xludf.DUMMYFUNCTION("""COMPUTED_VALUE"""),0)</f>
        <v>0</v>
      </c>
      <c r="F2997" s="77"/>
      <c r="G2997" s="77"/>
    </row>
    <row r="2998" spans="1:7" ht="12.75" x14ac:dyDescent="0.2">
      <c r="A2998" s="78"/>
      <c r="B2998" s="78"/>
      <c r="C2998" s="78"/>
      <c r="D2998" s="78"/>
      <c r="E2998" s="80">
        <f ca="1">IFERROR(__xludf.DUMMYFUNCTION("""COMPUTED_VALUE"""),0)</f>
        <v>0</v>
      </c>
      <c r="F2998" s="77"/>
      <c r="G2998" s="77"/>
    </row>
    <row r="2999" spans="1:7" ht="12.75" x14ac:dyDescent="0.2">
      <c r="A2999" s="78"/>
      <c r="B2999" s="78"/>
      <c r="C2999" s="78"/>
      <c r="D2999" s="78"/>
      <c r="E2999" s="80">
        <f ca="1">IFERROR(__xludf.DUMMYFUNCTION("""COMPUTED_VALUE"""),0)</f>
        <v>0</v>
      </c>
      <c r="F2999" s="77"/>
      <c r="G2999" s="77"/>
    </row>
    <row r="3000" spans="1:7" ht="12.75" x14ac:dyDescent="0.2">
      <c r="A3000" s="78"/>
      <c r="B3000" s="78"/>
      <c r="C3000" s="78"/>
      <c r="D3000" s="78"/>
      <c r="E3000" s="80">
        <f ca="1">IFERROR(__xludf.DUMMYFUNCTION("""COMPUTED_VALUE"""),0)</f>
        <v>0</v>
      </c>
      <c r="F3000" s="77"/>
      <c r="G3000" s="77"/>
    </row>
    <row r="3001" spans="1:7" ht="12.75" x14ac:dyDescent="0.2">
      <c r="A3001" s="78"/>
      <c r="B3001" s="78"/>
      <c r="C3001" s="78"/>
      <c r="D3001" s="78"/>
      <c r="E3001" s="80">
        <f ca="1">IFERROR(__xludf.DUMMYFUNCTION("""COMPUTED_VALUE"""),0)</f>
        <v>0</v>
      </c>
      <c r="F3001" s="77"/>
      <c r="G3001" s="77"/>
    </row>
    <row r="3002" spans="1:7" ht="12.75" x14ac:dyDescent="0.2">
      <c r="A3002" s="78"/>
      <c r="B3002" s="78"/>
      <c r="C3002" s="78"/>
      <c r="D3002" s="78"/>
      <c r="E3002" s="80">
        <f ca="1">IFERROR(__xludf.DUMMYFUNCTION("""COMPUTED_VALUE"""),0)</f>
        <v>0</v>
      </c>
      <c r="F3002" s="77"/>
      <c r="G3002" s="77"/>
    </row>
    <row r="3003" spans="1:7" ht="12.75" x14ac:dyDescent="0.2">
      <c r="A3003" s="78"/>
      <c r="B3003" s="78"/>
      <c r="C3003" s="78"/>
      <c r="D3003" s="78"/>
      <c r="E3003" s="80">
        <f ca="1">IFERROR(__xludf.DUMMYFUNCTION("""COMPUTED_VALUE"""),0)</f>
        <v>0</v>
      </c>
      <c r="F3003" s="77"/>
      <c r="G3003" s="77"/>
    </row>
    <row r="3004" spans="1:7" ht="12.75" x14ac:dyDescent="0.2">
      <c r="A3004" s="78"/>
      <c r="B3004" s="78"/>
      <c r="C3004" s="78"/>
      <c r="D3004" s="78"/>
      <c r="E3004" s="80">
        <f ca="1">IFERROR(__xludf.DUMMYFUNCTION("""COMPUTED_VALUE"""),0)</f>
        <v>0</v>
      </c>
      <c r="F3004" s="77"/>
      <c r="G3004" s="77"/>
    </row>
    <row r="3005" spans="1:7" ht="12.75" x14ac:dyDescent="0.2">
      <c r="A3005" s="78"/>
      <c r="B3005" s="78"/>
      <c r="C3005" s="78"/>
      <c r="D3005" s="78"/>
      <c r="E3005" s="80">
        <f ca="1">IFERROR(__xludf.DUMMYFUNCTION("""COMPUTED_VALUE"""),0)</f>
        <v>0</v>
      </c>
      <c r="F3005" s="77"/>
      <c r="G3005" s="77"/>
    </row>
    <row r="3006" spans="1:7" ht="12.75" x14ac:dyDescent="0.2">
      <c r="A3006" s="78"/>
      <c r="B3006" s="78"/>
      <c r="C3006" s="78"/>
      <c r="D3006" s="78"/>
      <c r="E3006" s="80">
        <f ca="1">IFERROR(__xludf.DUMMYFUNCTION("""COMPUTED_VALUE"""),0)</f>
        <v>0</v>
      </c>
      <c r="F3006" s="77"/>
      <c r="G3006" s="77"/>
    </row>
    <row r="3007" spans="1:7" ht="12.75" x14ac:dyDescent="0.2">
      <c r="A3007" s="78"/>
      <c r="B3007" s="78"/>
      <c r="C3007" s="78"/>
      <c r="D3007" s="78"/>
      <c r="E3007" s="80">
        <f ca="1">IFERROR(__xludf.DUMMYFUNCTION("""COMPUTED_VALUE"""),0)</f>
        <v>0</v>
      </c>
      <c r="F3007" s="77"/>
      <c r="G3007" s="77"/>
    </row>
    <row r="3008" spans="1:7" ht="12.75" x14ac:dyDescent="0.2">
      <c r="A3008" s="78"/>
      <c r="B3008" s="78"/>
      <c r="C3008" s="78"/>
      <c r="D3008" s="78"/>
      <c r="E3008" s="80">
        <f ca="1">IFERROR(__xludf.DUMMYFUNCTION("""COMPUTED_VALUE"""),0)</f>
        <v>0</v>
      </c>
      <c r="F3008" s="77"/>
      <c r="G3008" s="77"/>
    </row>
    <row r="3009" spans="1:7" ht="12.75" x14ac:dyDescent="0.2">
      <c r="A3009" s="78"/>
      <c r="B3009" s="78"/>
      <c r="C3009" s="78"/>
      <c r="D3009" s="78"/>
      <c r="E3009" s="80">
        <f ca="1">IFERROR(__xludf.DUMMYFUNCTION("""COMPUTED_VALUE"""),0)</f>
        <v>0</v>
      </c>
      <c r="F3009" s="77"/>
      <c r="G3009" s="77"/>
    </row>
    <row r="3010" spans="1:7" ht="12.75" x14ac:dyDescent="0.2">
      <c r="A3010" s="78"/>
      <c r="B3010" s="78"/>
      <c r="C3010" s="78"/>
      <c r="D3010" s="78"/>
      <c r="E3010" s="80">
        <f ca="1">IFERROR(__xludf.DUMMYFUNCTION("""COMPUTED_VALUE"""),0)</f>
        <v>0</v>
      </c>
      <c r="F3010" s="77"/>
      <c r="G3010" s="77"/>
    </row>
    <row r="3011" spans="1:7" ht="12.75" x14ac:dyDescent="0.2">
      <c r="A3011" s="78"/>
      <c r="B3011" s="78"/>
      <c r="C3011" s="78"/>
      <c r="D3011" s="78"/>
      <c r="E3011" s="80">
        <f ca="1">IFERROR(__xludf.DUMMYFUNCTION("""COMPUTED_VALUE"""),0)</f>
        <v>0</v>
      </c>
      <c r="F3011" s="77"/>
      <c r="G3011" s="77"/>
    </row>
    <row r="3012" spans="1:7" ht="12.75" x14ac:dyDescent="0.2">
      <c r="A3012" s="78"/>
      <c r="B3012" s="78"/>
      <c r="C3012" s="78"/>
      <c r="D3012" s="78"/>
      <c r="E3012" s="80">
        <f ca="1">IFERROR(__xludf.DUMMYFUNCTION("""COMPUTED_VALUE"""),0)</f>
        <v>0</v>
      </c>
      <c r="F3012" s="77"/>
      <c r="G3012" s="77"/>
    </row>
    <row r="3013" spans="1:7" ht="12.75" x14ac:dyDescent="0.2">
      <c r="A3013" s="78"/>
      <c r="B3013" s="78"/>
      <c r="C3013" s="78"/>
      <c r="D3013" s="78"/>
      <c r="E3013" s="80">
        <f ca="1">IFERROR(__xludf.DUMMYFUNCTION("""COMPUTED_VALUE"""),0)</f>
        <v>0</v>
      </c>
      <c r="F3013" s="77"/>
      <c r="G3013" s="77"/>
    </row>
    <row r="3014" spans="1:7" ht="12.75" x14ac:dyDescent="0.2">
      <c r="A3014" s="78"/>
      <c r="B3014" s="78"/>
      <c r="C3014" s="78"/>
      <c r="D3014" s="78"/>
      <c r="E3014" s="80">
        <f ca="1">IFERROR(__xludf.DUMMYFUNCTION("""COMPUTED_VALUE"""),0)</f>
        <v>0</v>
      </c>
      <c r="F3014" s="77"/>
      <c r="G3014" s="77"/>
    </row>
    <row r="3015" spans="1:7" ht="12.75" x14ac:dyDescent="0.2">
      <c r="A3015" s="78"/>
      <c r="B3015" s="78"/>
      <c r="C3015" s="78"/>
      <c r="D3015" s="78"/>
      <c r="E3015" s="80">
        <f ca="1">IFERROR(__xludf.DUMMYFUNCTION("""COMPUTED_VALUE"""),0)</f>
        <v>0</v>
      </c>
      <c r="F3015" s="77"/>
      <c r="G3015" s="77"/>
    </row>
    <row r="3016" spans="1:7" ht="12.75" x14ac:dyDescent="0.2">
      <c r="A3016" s="78"/>
      <c r="B3016" s="78"/>
      <c r="C3016" s="78"/>
      <c r="D3016" s="78"/>
      <c r="E3016" s="80">
        <f ca="1">IFERROR(__xludf.DUMMYFUNCTION("""COMPUTED_VALUE"""),0)</f>
        <v>0</v>
      </c>
      <c r="F3016" s="77"/>
      <c r="G3016" s="77"/>
    </row>
    <row r="3017" spans="1:7" ht="12.75" x14ac:dyDescent="0.2">
      <c r="A3017" s="78"/>
      <c r="B3017" s="78"/>
      <c r="C3017" s="78"/>
      <c r="D3017" s="78"/>
      <c r="E3017" s="80">
        <f ca="1">IFERROR(__xludf.DUMMYFUNCTION("""COMPUTED_VALUE"""),0)</f>
        <v>0</v>
      </c>
      <c r="F3017" s="77"/>
      <c r="G3017" s="77"/>
    </row>
    <row r="3018" spans="1:7" ht="12.75" x14ac:dyDescent="0.2">
      <c r="A3018" s="78"/>
      <c r="B3018" s="78"/>
      <c r="C3018" s="78"/>
      <c r="D3018" s="78"/>
      <c r="E3018" s="80">
        <f ca="1">IFERROR(__xludf.DUMMYFUNCTION("""COMPUTED_VALUE"""),0)</f>
        <v>0</v>
      </c>
      <c r="F3018" s="77"/>
      <c r="G3018" s="77"/>
    </row>
    <row r="3019" spans="1:7" ht="12.75" x14ac:dyDescent="0.2">
      <c r="A3019" s="78"/>
      <c r="B3019" s="78"/>
      <c r="C3019" s="78"/>
      <c r="D3019" s="78"/>
      <c r="E3019" s="80">
        <f ca="1">IFERROR(__xludf.DUMMYFUNCTION("""COMPUTED_VALUE"""),0)</f>
        <v>0</v>
      </c>
      <c r="F3019" s="77"/>
      <c r="G3019" s="77"/>
    </row>
    <row r="3020" spans="1:7" ht="12.75" x14ac:dyDescent="0.2">
      <c r="A3020" s="78"/>
      <c r="B3020" s="78"/>
      <c r="C3020" s="78"/>
      <c r="D3020" s="78"/>
      <c r="E3020" s="80">
        <f ca="1">IFERROR(__xludf.DUMMYFUNCTION("""COMPUTED_VALUE"""),0)</f>
        <v>0</v>
      </c>
      <c r="F3020" s="77"/>
      <c r="G3020" s="77"/>
    </row>
    <row r="3021" spans="1:7" ht="12.75" x14ac:dyDescent="0.2">
      <c r="A3021" s="78"/>
      <c r="B3021" s="78"/>
      <c r="C3021" s="78"/>
      <c r="D3021" s="78"/>
      <c r="E3021" s="80">
        <f ca="1">IFERROR(__xludf.DUMMYFUNCTION("""COMPUTED_VALUE"""),0)</f>
        <v>0</v>
      </c>
      <c r="F3021" s="77"/>
      <c r="G3021" s="77"/>
    </row>
    <row r="3022" spans="1:7" ht="12.75" x14ac:dyDescent="0.2">
      <c r="A3022" s="78"/>
      <c r="B3022" s="78"/>
      <c r="C3022" s="78"/>
      <c r="D3022" s="78"/>
      <c r="E3022" s="80">
        <f ca="1">IFERROR(__xludf.DUMMYFUNCTION("""COMPUTED_VALUE"""),0)</f>
        <v>0</v>
      </c>
      <c r="F3022" s="77"/>
      <c r="G3022" s="77"/>
    </row>
    <row r="3023" spans="1:7" ht="12.75" x14ac:dyDescent="0.2">
      <c r="A3023" s="78"/>
      <c r="B3023" s="78"/>
      <c r="C3023" s="78"/>
      <c r="D3023" s="78"/>
      <c r="E3023" s="80">
        <f ca="1">IFERROR(__xludf.DUMMYFUNCTION("""COMPUTED_VALUE"""),0)</f>
        <v>0</v>
      </c>
      <c r="F3023" s="77"/>
      <c r="G3023" s="77"/>
    </row>
    <row r="3024" spans="1:7" ht="12.75" x14ac:dyDescent="0.2">
      <c r="A3024" s="78"/>
      <c r="B3024" s="78"/>
      <c r="C3024" s="78"/>
      <c r="D3024" s="78"/>
      <c r="E3024" s="80">
        <f ca="1">IFERROR(__xludf.DUMMYFUNCTION("""COMPUTED_VALUE"""),0)</f>
        <v>0</v>
      </c>
      <c r="F3024" s="77"/>
      <c r="G3024" s="77"/>
    </row>
    <row r="3025" spans="1:7" ht="12.75" x14ac:dyDescent="0.2">
      <c r="A3025" s="78"/>
      <c r="B3025" s="78"/>
      <c r="C3025" s="78"/>
      <c r="D3025" s="78"/>
      <c r="E3025" s="80">
        <f ca="1">IFERROR(__xludf.DUMMYFUNCTION("""COMPUTED_VALUE"""),0)</f>
        <v>0</v>
      </c>
      <c r="F3025" s="77"/>
      <c r="G3025" s="77"/>
    </row>
    <row r="3026" spans="1:7" ht="12.75" x14ac:dyDescent="0.2">
      <c r="A3026" s="78"/>
      <c r="B3026" s="78"/>
      <c r="C3026" s="78"/>
      <c r="D3026" s="78"/>
      <c r="E3026" s="80">
        <f ca="1">IFERROR(__xludf.DUMMYFUNCTION("""COMPUTED_VALUE"""),0)</f>
        <v>0</v>
      </c>
      <c r="F3026" s="77"/>
      <c r="G3026" s="77"/>
    </row>
    <row r="3027" spans="1:7" ht="12.75" x14ac:dyDescent="0.2">
      <c r="A3027" s="78"/>
      <c r="B3027" s="78"/>
      <c r="C3027" s="78"/>
      <c r="D3027" s="78"/>
      <c r="E3027" s="80">
        <f ca="1">IFERROR(__xludf.DUMMYFUNCTION("""COMPUTED_VALUE"""),0)</f>
        <v>0</v>
      </c>
      <c r="F3027" s="77"/>
      <c r="G3027" s="77"/>
    </row>
    <row r="3028" spans="1:7" ht="12.75" x14ac:dyDescent="0.2">
      <c r="A3028" s="78"/>
      <c r="B3028" s="78"/>
      <c r="C3028" s="78"/>
      <c r="D3028" s="78"/>
      <c r="E3028" s="80">
        <f ca="1">IFERROR(__xludf.DUMMYFUNCTION("""COMPUTED_VALUE"""),0)</f>
        <v>0</v>
      </c>
      <c r="F3028" s="77"/>
      <c r="G3028" s="77"/>
    </row>
    <row r="3029" spans="1:7" ht="12.75" x14ac:dyDescent="0.2">
      <c r="A3029" s="78"/>
      <c r="B3029" s="78"/>
      <c r="C3029" s="78"/>
      <c r="D3029" s="78"/>
      <c r="E3029" s="80">
        <f ca="1">IFERROR(__xludf.DUMMYFUNCTION("""COMPUTED_VALUE"""),0)</f>
        <v>0</v>
      </c>
      <c r="F3029" s="77"/>
      <c r="G3029" s="77"/>
    </row>
    <row r="3030" spans="1:7" ht="12.75" x14ac:dyDescent="0.2">
      <c r="A3030" s="78"/>
      <c r="B3030" s="78"/>
      <c r="C3030" s="78"/>
      <c r="D3030" s="78"/>
      <c r="E3030" s="80">
        <f ca="1">IFERROR(__xludf.DUMMYFUNCTION("""COMPUTED_VALUE"""),0)</f>
        <v>0</v>
      </c>
      <c r="F3030" s="77"/>
      <c r="G3030" s="77"/>
    </row>
    <row r="3031" spans="1:7" ht="12.75" x14ac:dyDescent="0.2">
      <c r="A3031" s="78"/>
      <c r="B3031" s="78"/>
      <c r="C3031" s="78"/>
      <c r="D3031" s="78"/>
      <c r="E3031" s="80">
        <f ca="1">IFERROR(__xludf.DUMMYFUNCTION("""COMPUTED_VALUE"""),0)</f>
        <v>0</v>
      </c>
      <c r="F3031" s="77"/>
      <c r="G3031" s="77"/>
    </row>
    <row r="3032" spans="1:7" ht="12.75" x14ac:dyDescent="0.2">
      <c r="A3032" s="78"/>
      <c r="B3032" s="78"/>
      <c r="C3032" s="78"/>
      <c r="D3032" s="78"/>
      <c r="E3032" s="80">
        <f ca="1">IFERROR(__xludf.DUMMYFUNCTION("""COMPUTED_VALUE"""),0)</f>
        <v>0</v>
      </c>
      <c r="F3032" s="77"/>
      <c r="G3032" s="77"/>
    </row>
    <row r="3033" spans="1:7" ht="12.75" x14ac:dyDescent="0.2">
      <c r="A3033" s="78"/>
      <c r="B3033" s="78"/>
      <c r="C3033" s="78"/>
      <c r="D3033" s="78"/>
      <c r="E3033" s="80">
        <f ca="1">IFERROR(__xludf.DUMMYFUNCTION("""COMPUTED_VALUE"""),0)</f>
        <v>0</v>
      </c>
      <c r="F3033" s="77"/>
      <c r="G3033" s="77"/>
    </row>
    <row r="3034" spans="1:7" ht="12.75" x14ac:dyDescent="0.2">
      <c r="A3034" s="78"/>
      <c r="B3034" s="78"/>
      <c r="C3034" s="78"/>
      <c r="D3034" s="78"/>
      <c r="E3034" s="80">
        <f ca="1">IFERROR(__xludf.DUMMYFUNCTION("""COMPUTED_VALUE"""),0)</f>
        <v>0</v>
      </c>
      <c r="F3034" s="77"/>
      <c r="G3034" s="77"/>
    </row>
    <row r="3035" spans="1:7" ht="12.75" x14ac:dyDescent="0.2">
      <c r="A3035" s="78"/>
      <c r="B3035" s="78"/>
      <c r="C3035" s="78"/>
      <c r="D3035" s="78"/>
      <c r="E3035" s="80">
        <f ca="1">IFERROR(__xludf.DUMMYFUNCTION("""COMPUTED_VALUE"""),0)</f>
        <v>0</v>
      </c>
      <c r="F3035" s="77"/>
      <c r="G3035" s="77"/>
    </row>
    <row r="3036" spans="1:7" ht="12.75" x14ac:dyDescent="0.2">
      <c r="A3036" s="78"/>
      <c r="B3036" s="78"/>
      <c r="C3036" s="78"/>
      <c r="D3036" s="78"/>
      <c r="E3036" s="80">
        <f ca="1">IFERROR(__xludf.DUMMYFUNCTION("""COMPUTED_VALUE"""),0)</f>
        <v>0</v>
      </c>
      <c r="F3036" s="77"/>
      <c r="G3036" s="77"/>
    </row>
    <row r="3037" spans="1:7" ht="12.75" x14ac:dyDescent="0.2">
      <c r="A3037" s="78"/>
      <c r="B3037" s="78"/>
      <c r="C3037" s="78"/>
      <c r="D3037" s="78"/>
      <c r="E3037" s="80">
        <f ca="1">IFERROR(__xludf.DUMMYFUNCTION("""COMPUTED_VALUE"""),0)</f>
        <v>0</v>
      </c>
      <c r="F3037" s="77"/>
      <c r="G3037" s="77"/>
    </row>
    <row r="3038" spans="1:7" ht="12.75" x14ac:dyDescent="0.2">
      <c r="A3038" s="78"/>
      <c r="B3038" s="78"/>
      <c r="C3038" s="78"/>
      <c r="D3038" s="78"/>
      <c r="E3038" s="80">
        <f ca="1">IFERROR(__xludf.DUMMYFUNCTION("""COMPUTED_VALUE"""),0)</f>
        <v>0</v>
      </c>
      <c r="F3038" s="77"/>
      <c r="G3038" s="77"/>
    </row>
    <row r="3039" spans="1:7" ht="12.75" x14ac:dyDescent="0.2">
      <c r="A3039" s="78"/>
      <c r="B3039" s="78"/>
      <c r="C3039" s="78"/>
      <c r="D3039" s="78"/>
      <c r="E3039" s="80">
        <f ca="1">IFERROR(__xludf.DUMMYFUNCTION("""COMPUTED_VALUE"""),0)</f>
        <v>0</v>
      </c>
      <c r="F3039" s="77"/>
      <c r="G3039" s="77"/>
    </row>
    <row r="3040" spans="1:7" ht="12.75" x14ac:dyDescent="0.2">
      <c r="A3040" s="78"/>
      <c r="B3040" s="78"/>
      <c r="C3040" s="78"/>
      <c r="D3040" s="78"/>
      <c r="E3040" s="80">
        <f ca="1">IFERROR(__xludf.DUMMYFUNCTION("""COMPUTED_VALUE"""),0)</f>
        <v>0</v>
      </c>
      <c r="F3040" s="77"/>
      <c r="G3040" s="77"/>
    </row>
    <row r="3041" spans="1:7" ht="12.75" x14ac:dyDescent="0.2">
      <c r="A3041" s="78"/>
      <c r="B3041" s="78"/>
      <c r="C3041" s="78"/>
      <c r="D3041" s="78"/>
      <c r="E3041" s="80">
        <f ca="1">IFERROR(__xludf.DUMMYFUNCTION("""COMPUTED_VALUE"""),0)</f>
        <v>0</v>
      </c>
      <c r="F3041" s="77"/>
      <c r="G3041" s="77"/>
    </row>
    <row r="3042" spans="1:7" ht="12.75" x14ac:dyDescent="0.2">
      <c r="A3042" s="78"/>
      <c r="B3042" s="78"/>
      <c r="C3042" s="78"/>
      <c r="D3042" s="78"/>
      <c r="E3042" s="80">
        <f ca="1">IFERROR(__xludf.DUMMYFUNCTION("""COMPUTED_VALUE"""),0)</f>
        <v>0</v>
      </c>
      <c r="F3042" s="77"/>
      <c r="G3042" s="77"/>
    </row>
    <row r="3043" spans="1:7" ht="12.75" x14ac:dyDescent="0.2">
      <c r="A3043" s="78"/>
      <c r="B3043" s="78"/>
      <c r="C3043" s="78"/>
      <c r="D3043" s="78"/>
      <c r="E3043" s="80">
        <f ca="1">IFERROR(__xludf.DUMMYFUNCTION("""COMPUTED_VALUE"""),0)</f>
        <v>0</v>
      </c>
      <c r="F3043" s="77"/>
      <c r="G3043" s="77"/>
    </row>
    <row r="3044" spans="1:7" ht="12.75" x14ac:dyDescent="0.2">
      <c r="A3044" s="78"/>
      <c r="B3044" s="78"/>
      <c r="C3044" s="78"/>
      <c r="D3044" s="78"/>
      <c r="E3044" s="80">
        <f ca="1">IFERROR(__xludf.DUMMYFUNCTION("""COMPUTED_VALUE"""),0)</f>
        <v>0</v>
      </c>
      <c r="F3044" s="77"/>
      <c r="G3044" s="77"/>
    </row>
    <row r="3045" spans="1:7" ht="12.75" x14ac:dyDescent="0.2">
      <c r="A3045" s="78"/>
      <c r="B3045" s="78"/>
      <c r="C3045" s="78"/>
      <c r="D3045" s="78"/>
      <c r="E3045" s="80">
        <f ca="1">IFERROR(__xludf.DUMMYFUNCTION("""COMPUTED_VALUE"""),0)</f>
        <v>0</v>
      </c>
      <c r="F3045" s="77"/>
      <c r="G3045" s="77"/>
    </row>
    <row r="3046" spans="1:7" ht="12.75" x14ac:dyDescent="0.2">
      <c r="A3046" s="78"/>
      <c r="B3046" s="78"/>
      <c r="C3046" s="78"/>
      <c r="D3046" s="78"/>
      <c r="E3046" s="80">
        <f ca="1">IFERROR(__xludf.DUMMYFUNCTION("""COMPUTED_VALUE"""),0)</f>
        <v>0</v>
      </c>
      <c r="F3046" s="77"/>
      <c r="G3046" s="77"/>
    </row>
    <row r="3047" spans="1:7" ht="12.75" x14ac:dyDescent="0.2">
      <c r="A3047" s="78"/>
      <c r="B3047" s="78"/>
      <c r="C3047" s="78"/>
      <c r="D3047" s="78"/>
      <c r="E3047" s="80">
        <f ca="1">IFERROR(__xludf.DUMMYFUNCTION("""COMPUTED_VALUE"""),0)</f>
        <v>0</v>
      </c>
      <c r="F3047" s="77"/>
      <c r="G3047" s="77"/>
    </row>
    <row r="3048" spans="1:7" ht="12.75" x14ac:dyDescent="0.2">
      <c r="A3048" s="78"/>
      <c r="B3048" s="78"/>
      <c r="C3048" s="78"/>
      <c r="D3048" s="78"/>
      <c r="E3048" s="80">
        <f ca="1">IFERROR(__xludf.DUMMYFUNCTION("""COMPUTED_VALUE"""),0)</f>
        <v>0</v>
      </c>
      <c r="F3048" s="77"/>
      <c r="G3048" s="77"/>
    </row>
    <row r="3049" spans="1:7" ht="12.75" x14ac:dyDescent="0.2">
      <c r="A3049" s="78"/>
      <c r="B3049" s="78"/>
      <c r="C3049" s="78"/>
      <c r="D3049" s="78"/>
      <c r="E3049" s="80">
        <f ca="1">IFERROR(__xludf.DUMMYFUNCTION("""COMPUTED_VALUE"""),0)</f>
        <v>0</v>
      </c>
      <c r="F3049" s="77"/>
      <c r="G3049" s="77"/>
    </row>
    <row r="3050" spans="1:7" ht="12.75" x14ac:dyDescent="0.2">
      <c r="A3050" s="78"/>
      <c r="B3050" s="78"/>
      <c r="C3050" s="78"/>
      <c r="D3050" s="78"/>
      <c r="E3050" s="80">
        <f ca="1">IFERROR(__xludf.DUMMYFUNCTION("""COMPUTED_VALUE"""),0)</f>
        <v>0</v>
      </c>
      <c r="F3050" s="77"/>
      <c r="G3050" s="77"/>
    </row>
    <row r="3051" spans="1:7" ht="12.75" x14ac:dyDescent="0.2">
      <c r="A3051" s="78"/>
      <c r="B3051" s="78"/>
      <c r="C3051" s="78"/>
      <c r="D3051" s="78"/>
      <c r="E3051" s="80">
        <f ca="1">IFERROR(__xludf.DUMMYFUNCTION("""COMPUTED_VALUE"""),0)</f>
        <v>0</v>
      </c>
      <c r="F3051" s="77"/>
      <c r="G3051" s="77"/>
    </row>
    <row r="3052" spans="1:7" ht="12.75" x14ac:dyDescent="0.2">
      <c r="A3052" s="78"/>
      <c r="B3052" s="78"/>
      <c r="C3052" s="78"/>
      <c r="D3052" s="78"/>
      <c r="E3052" s="80">
        <f ca="1">IFERROR(__xludf.DUMMYFUNCTION("""COMPUTED_VALUE"""),0)</f>
        <v>0</v>
      </c>
      <c r="F3052" s="77"/>
      <c r="G3052" s="77"/>
    </row>
    <row r="3053" spans="1:7" ht="12.75" x14ac:dyDescent="0.2">
      <c r="A3053" s="78"/>
      <c r="B3053" s="78"/>
      <c r="C3053" s="78"/>
      <c r="D3053" s="78"/>
      <c r="E3053" s="80">
        <f ca="1">IFERROR(__xludf.DUMMYFUNCTION("""COMPUTED_VALUE"""),0)</f>
        <v>0</v>
      </c>
      <c r="F3053" s="77"/>
      <c r="G3053" s="77"/>
    </row>
    <row r="3054" spans="1:7" ht="12.75" x14ac:dyDescent="0.2">
      <c r="A3054" s="78"/>
      <c r="B3054" s="78"/>
      <c r="C3054" s="78"/>
      <c r="D3054" s="78"/>
      <c r="E3054" s="80">
        <f ca="1">IFERROR(__xludf.DUMMYFUNCTION("""COMPUTED_VALUE"""),0)</f>
        <v>0</v>
      </c>
      <c r="F3054" s="77"/>
      <c r="G3054" s="77"/>
    </row>
    <row r="3055" spans="1:7" ht="12.75" x14ac:dyDescent="0.2">
      <c r="A3055" s="78"/>
      <c r="B3055" s="78"/>
      <c r="C3055" s="78"/>
      <c r="D3055" s="78"/>
      <c r="E3055" s="80">
        <f ca="1">IFERROR(__xludf.DUMMYFUNCTION("""COMPUTED_VALUE"""),0)</f>
        <v>0</v>
      </c>
      <c r="F3055" s="77"/>
      <c r="G3055" s="77"/>
    </row>
    <row r="3056" spans="1:7" ht="12.75" x14ac:dyDescent="0.2">
      <c r="A3056" s="78"/>
      <c r="B3056" s="78"/>
      <c r="C3056" s="78"/>
      <c r="D3056" s="78"/>
      <c r="E3056" s="80">
        <f ca="1">IFERROR(__xludf.DUMMYFUNCTION("""COMPUTED_VALUE"""),0)</f>
        <v>0</v>
      </c>
      <c r="F3056" s="77"/>
      <c r="G3056" s="77"/>
    </row>
    <row r="3057" spans="1:7" ht="12.75" x14ac:dyDescent="0.2">
      <c r="A3057" s="78"/>
      <c r="B3057" s="78"/>
      <c r="C3057" s="78"/>
      <c r="D3057" s="78"/>
      <c r="E3057" s="80">
        <f ca="1">IFERROR(__xludf.DUMMYFUNCTION("""COMPUTED_VALUE"""),0)</f>
        <v>0</v>
      </c>
      <c r="F3057" s="77"/>
      <c r="G3057" s="77"/>
    </row>
    <row r="3058" spans="1:7" ht="12.75" x14ac:dyDescent="0.2">
      <c r="A3058" s="78"/>
      <c r="B3058" s="78"/>
      <c r="C3058" s="78"/>
      <c r="D3058" s="78"/>
      <c r="E3058" s="80">
        <f ca="1">IFERROR(__xludf.DUMMYFUNCTION("""COMPUTED_VALUE"""),0)</f>
        <v>0</v>
      </c>
      <c r="F3058" s="77"/>
      <c r="G3058" s="77"/>
    </row>
    <row r="3059" spans="1:7" ht="12.75" x14ac:dyDescent="0.2">
      <c r="A3059" s="78"/>
      <c r="B3059" s="78"/>
      <c r="C3059" s="78"/>
      <c r="D3059" s="78"/>
      <c r="E3059" s="80">
        <f ca="1">IFERROR(__xludf.DUMMYFUNCTION("""COMPUTED_VALUE"""),0)</f>
        <v>0</v>
      </c>
      <c r="F3059" s="77"/>
      <c r="G3059" s="77"/>
    </row>
    <row r="3060" spans="1:7" ht="12.75" x14ac:dyDescent="0.2">
      <c r="A3060" s="78"/>
      <c r="B3060" s="78"/>
      <c r="C3060" s="78"/>
      <c r="D3060" s="78"/>
      <c r="E3060" s="80">
        <f ca="1">IFERROR(__xludf.DUMMYFUNCTION("""COMPUTED_VALUE"""),0)</f>
        <v>0</v>
      </c>
      <c r="F3060" s="77"/>
      <c r="G3060" s="77"/>
    </row>
    <row r="3061" spans="1:7" ht="12.75" x14ac:dyDescent="0.2">
      <c r="A3061" s="78"/>
      <c r="B3061" s="78"/>
      <c r="C3061" s="78"/>
      <c r="D3061" s="78"/>
      <c r="E3061" s="80">
        <f ca="1">IFERROR(__xludf.DUMMYFUNCTION("""COMPUTED_VALUE"""),0)</f>
        <v>0</v>
      </c>
      <c r="F3061" s="77"/>
      <c r="G3061" s="77"/>
    </row>
    <row r="3062" spans="1:7" ht="12.75" x14ac:dyDescent="0.2">
      <c r="A3062" s="78"/>
      <c r="B3062" s="78"/>
      <c r="C3062" s="78"/>
      <c r="D3062" s="78"/>
      <c r="E3062" s="80">
        <f ca="1">IFERROR(__xludf.DUMMYFUNCTION("""COMPUTED_VALUE"""),0)</f>
        <v>0</v>
      </c>
      <c r="F3062" s="77"/>
      <c r="G3062" s="77"/>
    </row>
    <row r="3063" spans="1:7" ht="12.75" x14ac:dyDescent="0.2">
      <c r="A3063" s="78"/>
      <c r="B3063" s="78"/>
      <c r="C3063" s="78"/>
      <c r="D3063" s="78"/>
      <c r="E3063" s="80">
        <f ca="1">IFERROR(__xludf.DUMMYFUNCTION("""COMPUTED_VALUE"""),0)</f>
        <v>0</v>
      </c>
      <c r="F3063" s="77"/>
      <c r="G3063" s="77"/>
    </row>
    <row r="3064" spans="1:7" ht="12.75" x14ac:dyDescent="0.2">
      <c r="A3064" s="78"/>
      <c r="B3064" s="78"/>
      <c r="C3064" s="78"/>
      <c r="D3064" s="78"/>
      <c r="E3064" s="80">
        <f ca="1">IFERROR(__xludf.DUMMYFUNCTION("""COMPUTED_VALUE"""),0)</f>
        <v>0</v>
      </c>
      <c r="F3064" s="77"/>
      <c r="G3064" s="77"/>
    </row>
    <row r="3065" spans="1:7" ht="12.75" x14ac:dyDescent="0.2">
      <c r="A3065" s="78"/>
      <c r="B3065" s="78"/>
      <c r="C3065" s="78"/>
      <c r="D3065" s="78"/>
      <c r="E3065" s="80">
        <f ca="1">IFERROR(__xludf.DUMMYFUNCTION("""COMPUTED_VALUE"""),0)</f>
        <v>0</v>
      </c>
      <c r="F3065" s="77"/>
      <c r="G3065" s="77"/>
    </row>
    <row r="3066" spans="1:7" ht="12.75" x14ac:dyDescent="0.2">
      <c r="A3066" s="78"/>
      <c r="B3066" s="78"/>
      <c r="C3066" s="78"/>
      <c r="D3066" s="78"/>
      <c r="E3066" s="80">
        <f ca="1">IFERROR(__xludf.DUMMYFUNCTION("""COMPUTED_VALUE"""),0)</f>
        <v>0</v>
      </c>
      <c r="F3066" s="77"/>
      <c r="G3066" s="77"/>
    </row>
    <row r="3067" spans="1:7" ht="12.75" x14ac:dyDescent="0.2">
      <c r="A3067" s="78"/>
      <c r="B3067" s="78"/>
      <c r="C3067" s="78"/>
      <c r="D3067" s="78"/>
      <c r="E3067" s="80">
        <f ca="1">IFERROR(__xludf.DUMMYFUNCTION("""COMPUTED_VALUE"""),0)</f>
        <v>0</v>
      </c>
      <c r="F3067" s="77"/>
      <c r="G3067" s="77"/>
    </row>
    <row r="3068" spans="1:7" ht="12.75" x14ac:dyDescent="0.2">
      <c r="A3068" s="78"/>
      <c r="B3068" s="78"/>
      <c r="C3068" s="78"/>
      <c r="D3068" s="78"/>
      <c r="E3068" s="80">
        <f ca="1">IFERROR(__xludf.DUMMYFUNCTION("""COMPUTED_VALUE"""),0)</f>
        <v>0</v>
      </c>
      <c r="F3068" s="77"/>
      <c r="G3068" s="77"/>
    </row>
    <row r="3069" spans="1:7" ht="12.75" x14ac:dyDescent="0.2">
      <c r="A3069" s="78"/>
      <c r="B3069" s="78"/>
      <c r="C3069" s="78"/>
      <c r="D3069" s="78"/>
      <c r="E3069" s="80">
        <f ca="1">IFERROR(__xludf.DUMMYFUNCTION("""COMPUTED_VALUE"""),0)</f>
        <v>0</v>
      </c>
      <c r="F3069" s="77"/>
      <c r="G3069" s="77"/>
    </row>
    <row r="3070" spans="1:7" ht="12.75" x14ac:dyDescent="0.2">
      <c r="A3070" s="78"/>
      <c r="B3070" s="78"/>
      <c r="C3070" s="78"/>
      <c r="D3070" s="78"/>
      <c r="E3070" s="80">
        <f ca="1">IFERROR(__xludf.DUMMYFUNCTION("""COMPUTED_VALUE"""),0)</f>
        <v>0</v>
      </c>
      <c r="F3070" s="77"/>
      <c r="G3070" s="77"/>
    </row>
    <row r="3071" spans="1:7" ht="12.75" x14ac:dyDescent="0.2">
      <c r="A3071" s="78"/>
      <c r="B3071" s="78"/>
      <c r="C3071" s="78"/>
      <c r="D3071" s="78"/>
      <c r="E3071" s="80">
        <f ca="1">IFERROR(__xludf.DUMMYFUNCTION("""COMPUTED_VALUE"""),0)</f>
        <v>0</v>
      </c>
      <c r="F3071" s="77"/>
      <c r="G3071" s="77"/>
    </row>
    <row r="3072" spans="1:7" ht="12.75" x14ac:dyDescent="0.2">
      <c r="A3072" s="78"/>
      <c r="B3072" s="78"/>
      <c r="C3072" s="78"/>
      <c r="D3072" s="78"/>
      <c r="E3072" s="80">
        <f ca="1">IFERROR(__xludf.DUMMYFUNCTION("""COMPUTED_VALUE"""),0)</f>
        <v>0</v>
      </c>
      <c r="F3072" s="77"/>
      <c r="G3072" s="77"/>
    </row>
    <row r="3073" spans="1:7" ht="12.75" x14ac:dyDescent="0.2">
      <c r="A3073" s="78"/>
      <c r="B3073" s="78"/>
      <c r="C3073" s="78"/>
      <c r="D3073" s="78"/>
      <c r="E3073" s="80">
        <f ca="1">IFERROR(__xludf.DUMMYFUNCTION("""COMPUTED_VALUE"""),0)</f>
        <v>0</v>
      </c>
      <c r="F3073" s="77"/>
      <c r="G3073" s="77"/>
    </row>
    <row r="3074" spans="1:7" ht="12.75" x14ac:dyDescent="0.2">
      <c r="A3074" s="78"/>
      <c r="B3074" s="78"/>
      <c r="C3074" s="78"/>
      <c r="D3074" s="78"/>
      <c r="E3074" s="80">
        <f ca="1">IFERROR(__xludf.DUMMYFUNCTION("""COMPUTED_VALUE"""),0)</f>
        <v>0</v>
      </c>
      <c r="F3074" s="77"/>
      <c r="G3074" s="77"/>
    </row>
    <row r="3075" spans="1:7" ht="12.75" x14ac:dyDescent="0.2">
      <c r="A3075" s="78"/>
      <c r="B3075" s="78"/>
      <c r="C3075" s="78"/>
      <c r="D3075" s="78"/>
      <c r="E3075" s="80">
        <f ca="1">IFERROR(__xludf.DUMMYFUNCTION("""COMPUTED_VALUE"""),0)</f>
        <v>0</v>
      </c>
      <c r="F3075" s="77"/>
      <c r="G3075" s="77"/>
    </row>
    <row r="3076" spans="1:7" ht="12.75" x14ac:dyDescent="0.2">
      <c r="A3076" s="78"/>
      <c r="B3076" s="78"/>
      <c r="C3076" s="78"/>
      <c r="D3076" s="78"/>
      <c r="E3076" s="80">
        <f ca="1">IFERROR(__xludf.DUMMYFUNCTION("""COMPUTED_VALUE"""),0)</f>
        <v>0</v>
      </c>
      <c r="F3076" s="77"/>
      <c r="G3076" s="77"/>
    </row>
    <row r="3077" spans="1:7" ht="12.75" x14ac:dyDescent="0.2">
      <c r="A3077" s="78"/>
      <c r="B3077" s="78"/>
      <c r="C3077" s="78"/>
      <c r="D3077" s="78"/>
      <c r="E3077" s="80">
        <f ca="1">IFERROR(__xludf.DUMMYFUNCTION("""COMPUTED_VALUE"""),0)</f>
        <v>0</v>
      </c>
      <c r="F3077" s="77"/>
      <c r="G3077" s="77"/>
    </row>
    <row r="3078" spans="1:7" ht="12.75" x14ac:dyDescent="0.2">
      <c r="A3078" s="78"/>
      <c r="B3078" s="78"/>
      <c r="C3078" s="78"/>
      <c r="D3078" s="78"/>
      <c r="E3078" s="80">
        <f ca="1">IFERROR(__xludf.DUMMYFUNCTION("""COMPUTED_VALUE"""),0)</f>
        <v>0</v>
      </c>
      <c r="F3078" s="77"/>
      <c r="G3078" s="77"/>
    </row>
    <row r="3079" spans="1:7" ht="12.75" x14ac:dyDescent="0.2">
      <c r="A3079" s="78"/>
      <c r="B3079" s="78"/>
      <c r="C3079" s="78"/>
      <c r="D3079" s="78"/>
      <c r="E3079" s="80">
        <f ca="1">IFERROR(__xludf.DUMMYFUNCTION("""COMPUTED_VALUE"""),0)</f>
        <v>0</v>
      </c>
      <c r="F3079" s="77"/>
      <c r="G3079" s="77"/>
    </row>
    <row r="3080" spans="1:7" ht="12.75" x14ac:dyDescent="0.2">
      <c r="A3080" s="78"/>
      <c r="B3080" s="78"/>
      <c r="C3080" s="78"/>
      <c r="D3080" s="78"/>
      <c r="E3080" s="80">
        <f ca="1">IFERROR(__xludf.DUMMYFUNCTION("""COMPUTED_VALUE"""),0)</f>
        <v>0</v>
      </c>
      <c r="F3080" s="77"/>
      <c r="G3080" s="77"/>
    </row>
    <row r="3081" spans="1:7" ht="12.75" x14ac:dyDescent="0.2">
      <c r="A3081" s="78"/>
      <c r="B3081" s="78"/>
      <c r="C3081" s="78"/>
      <c r="D3081" s="78"/>
      <c r="E3081" s="80">
        <f ca="1">IFERROR(__xludf.DUMMYFUNCTION("""COMPUTED_VALUE"""),0)</f>
        <v>0</v>
      </c>
      <c r="F3081" s="77"/>
      <c r="G3081" s="77"/>
    </row>
    <row r="3082" spans="1:7" ht="12.75" x14ac:dyDescent="0.2">
      <c r="A3082" s="78"/>
      <c r="B3082" s="78"/>
      <c r="C3082" s="78"/>
      <c r="D3082" s="78"/>
      <c r="E3082" s="80">
        <f ca="1">IFERROR(__xludf.DUMMYFUNCTION("""COMPUTED_VALUE"""),0)</f>
        <v>0</v>
      </c>
      <c r="F3082" s="77"/>
      <c r="G3082" s="77"/>
    </row>
    <row r="3083" spans="1:7" ht="12.75" x14ac:dyDescent="0.2">
      <c r="A3083" s="78"/>
      <c r="B3083" s="78"/>
      <c r="C3083" s="78"/>
      <c r="D3083" s="78"/>
      <c r="E3083" s="80">
        <f ca="1">IFERROR(__xludf.DUMMYFUNCTION("""COMPUTED_VALUE"""),0)</f>
        <v>0</v>
      </c>
      <c r="F3083" s="77"/>
      <c r="G3083" s="77"/>
    </row>
    <row r="3084" spans="1:7" ht="12.75" x14ac:dyDescent="0.2">
      <c r="A3084" s="78"/>
      <c r="B3084" s="78"/>
      <c r="C3084" s="78"/>
      <c r="D3084" s="78"/>
      <c r="E3084" s="80">
        <f ca="1">IFERROR(__xludf.DUMMYFUNCTION("""COMPUTED_VALUE"""),0)</f>
        <v>0</v>
      </c>
      <c r="F3084" s="77"/>
      <c r="G3084" s="77"/>
    </row>
    <row r="3085" spans="1:7" ht="12.75" x14ac:dyDescent="0.2">
      <c r="A3085" s="78"/>
      <c r="B3085" s="78"/>
      <c r="C3085" s="78"/>
      <c r="D3085" s="78"/>
      <c r="E3085" s="80">
        <f ca="1">IFERROR(__xludf.DUMMYFUNCTION("""COMPUTED_VALUE"""),0)</f>
        <v>0</v>
      </c>
      <c r="F3085" s="77"/>
      <c r="G3085" s="77"/>
    </row>
    <row r="3086" spans="1:7" ht="12.75" x14ac:dyDescent="0.2">
      <c r="A3086" s="78"/>
      <c r="B3086" s="78"/>
      <c r="C3086" s="78"/>
      <c r="D3086" s="78"/>
      <c r="E3086" s="80">
        <f ca="1">IFERROR(__xludf.DUMMYFUNCTION("""COMPUTED_VALUE"""),0)</f>
        <v>0</v>
      </c>
      <c r="F3086" s="77"/>
      <c r="G3086" s="77"/>
    </row>
    <row r="3087" spans="1:7" ht="12.75" x14ac:dyDescent="0.2">
      <c r="A3087" s="78"/>
      <c r="B3087" s="78"/>
      <c r="C3087" s="78"/>
      <c r="D3087" s="78"/>
      <c r="E3087" s="80">
        <f ca="1">IFERROR(__xludf.DUMMYFUNCTION("""COMPUTED_VALUE"""),0)</f>
        <v>0</v>
      </c>
      <c r="F3087" s="77"/>
      <c r="G3087" s="77"/>
    </row>
    <row r="3088" spans="1:7" ht="12.75" x14ac:dyDescent="0.2">
      <c r="A3088" s="78"/>
      <c r="B3088" s="78"/>
      <c r="C3088" s="78"/>
      <c r="D3088" s="78"/>
      <c r="E3088" s="80">
        <f ca="1">IFERROR(__xludf.DUMMYFUNCTION("""COMPUTED_VALUE"""),0)</f>
        <v>0</v>
      </c>
      <c r="F3088" s="77"/>
      <c r="G3088" s="77"/>
    </row>
    <row r="3089" spans="1:7" ht="12.75" x14ac:dyDescent="0.2">
      <c r="A3089" s="78"/>
      <c r="B3089" s="78"/>
      <c r="C3089" s="78"/>
      <c r="D3089" s="78"/>
      <c r="E3089" s="80">
        <f ca="1">IFERROR(__xludf.DUMMYFUNCTION("""COMPUTED_VALUE"""),0)</f>
        <v>0</v>
      </c>
      <c r="F3089" s="77"/>
      <c r="G3089" s="77"/>
    </row>
    <row r="3090" spans="1:7" ht="12.75" x14ac:dyDescent="0.2">
      <c r="A3090" s="78"/>
      <c r="B3090" s="78"/>
      <c r="C3090" s="78"/>
      <c r="D3090" s="78"/>
      <c r="E3090" s="80">
        <f ca="1">IFERROR(__xludf.DUMMYFUNCTION("""COMPUTED_VALUE"""),0)</f>
        <v>0</v>
      </c>
      <c r="F3090" s="77"/>
      <c r="G3090" s="77"/>
    </row>
    <row r="3091" spans="1:7" ht="12.75" x14ac:dyDescent="0.2">
      <c r="A3091" s="78"/>
      <c r="B3091" s="78"/>
      <c r="C3091" s="78"/>
      <c r="D3091" s="78"/>
      <c r="E3091" s="80">
        <f ca="1">IFERROR(__xludf.DUMMYFUNCTION("""COMPUTED_VALUE"""),0)</f>
        <v>0</v>
      </c>
      <c r="F3091" s="77"/>
      <c r="G3091" s="77"/>
    </row>
    <row r="3092" spans="1:7" ht="12.75" x14ac:dyDescent="0.2">
      <c r="A3092" s="78"/>
      <c r="B3092" s="78"/>
      <c r="C3092" s="78"/>
      <c r="D3092" s="78"/>
      <c r="E3092" s="80">
        <f ca="1">IFERROR(__xludf.DUMMYFUNCTION("""COMPUTED_VALUE"""),0)</f>
        <v>0</v>
      </c>
      <c r="F3092" s="77"/>
      <c r="G3092" s="77"/>
    </row>
    <row r="3093" spans="1:7" ht="12.75" x14ac:dyDescent="0.2">
      <c r="A3093" s="78"/>
      <c r="B3093" s="78"/>
      <c r="C3093" s="78"/>
      <c r="D3093" s="78"/>
      <c r="E3093" s="80">
        <f ca="1">IFERROR(__xludf.DUMMYFUNCTION("""COMPUTED_VALUE"""),0)</f>
        <v>0</v>
      </c>
      <c r="F3093" s="77"/>
      <c r="G3093" s="77"/>
    </row>
    <row r="3094" spans="1:7" ht="12.75" x14ac:dyDescent="0.2">
      <c r="A3094" s="78"/>
      <c r="B3094" s="78"/>
      <c r="C3094" s="78"/>
      <c r="D3094" s="78"/>
      <c r="E3094" s="80">
        <f ca="1">IFERROR(__xludf.DUMMYFUNCTION("""COMPUTED_VALUE"""),0)</f>
        <v>0</v>
      </c>
      <c r="F3094" s="77"/>
      <c r="G3094" s="77"/>
    </row>
    <row r="3095" spans="1:7" ht="12.75" x14ac:dyDescent="0.2">
      <c r="A3095" s="78"/>
      <c r="B3095" s="78"/>
      <c r="C3095" s="78"/>
      <c r="D3095" s="78"/>
      <c r="E3095" s="80">
        <f ca="1">IFERROR(__xludf.DUMMYFUNCTION("""COMPUTED_VALUE"""),0)</f>
        <v>0</v>
      </c>
      <c r="F3095" s="77"/>
      <c r="G3095" s="77"/>
    </row>
    <row r="3096" spans="1:7" ht="12.75" x14ac:dyDescent="0.2">
      <c r="A3096" s="78"/>
      <c r="B3096" s="78"/>
      <c r="C3096" s="78"/>
      <c r="D3096" s="78"/>
      <c r="E3096" s="80">
        <f ca="1">IFERROR(__xludf.DUMMYFUNCTION("""COMPUTED_VALUE"""),0)</f>
        <v>0</v>
      </c>
      <c r="F3096" s="77"/>
      <c r="G3096" s="77"/>
    </row>
    <row r="3097" spans="1:7" ht="12.75" x14ac:dyDescent="0.2">
      <c r="A3097" s="78"/>
      <c r="B3097" s="78"/>
      <c r="C3097" s="78"/>
      <c r="D3097" s="78"/>
      <c r="E3097" s="80">
        <f ca="1">IFERROR(__xludf.DUMMYFUNCTION("""COMPUTED_VALUE"""),0)</f>
        <v>0</v>
      </c>
      <c r="F3097" s="77"/>
      <c r="G3097" s="77"/>
    </row>
    <row r="3098" spans="1:7" ht="12.75" x14ac:dyDescent="0.2">
      <c r="A3098" s="78"/>
      <c r="B3098" s="78"/>
      <c r="C3098" s="78"/>
      <c r="D3098" s="78"/>
      <c r="E3098" s="80">
        <f ca="1">IFERROR(__xludf.DUMMYFUNCTION("""COMPUTED_VALUE"""),0)</f>
        <v>0</v>
      </c>
      <c r="F3098" s="77"/>
      <c r="G3098" s="77"/>
    </row>
    <row r="3099" spans="1:7" ht="12.75" x14ac:dyDescent="0.2">
      <c r="A3099" s="78"/>
      <c r="B3099" s="78"/>
      <c r="C3099" s="78"/>
      <c r="D3099" s="78"/>
      <c r="E3099" s="80">
        <f ca="1">IFERROR(__xludf.DUMMYFUNCTION("""COMPUTED_VALUE"""),0)</f>
        <v>0</v>
      </c>
      <c r="F3099" s="77"/>
      <c r="G3099" s="77"/>
    </row>
    <row r="3100" spans="1:7" ht="12.75" x14ac:dyDescent="0.2">
      <c r="A3100" s="78"/>
      <c r="B3100" s="78"/>
      <c r="C3100" s="78"/>
      <c r="D3100" s="78"/>
      <c r="E3100" s="80">
        <f ca="1">IFERROR(__xludf.DUMMYFUNCTION("""COMPUTED_VALUE"""),0)</f>
        <v>0</v>
      </c>
      <c r="F3100" s="77"/>
      <c r="G3100" s="77"/>
    </row>
    <row r="3101" spans="1:7" ht="12.75" x14ac:dyDescent="0.2">
      <c r="A3101" s="78"/>
      <c r="B3101" s="78"/>
      <c r="C3101" s="78"/>
      <c r="D3101" s="78"/>
      <c r="E3101" s="80">
        <f ca="1">IFERROR(__xludf.DUMMYFUNCTION("""COMPUTED_VALUE"""),0)</f>
        <v>0</v>
      </c>
      <c r="F3101" s="77"/>
      <c r="G3101" s="77"/>
    </row>
    <row r="3102" spans="1:7" ht="12.75" x14ac:dyDescent="0.2">
      <c r="A3102" s="78"/>
      <c r="B3102" s="78"/>
      <c r="C3102" s="78"/>
      <c r="D3102" s="78"/>
      <c r="E3102" s="80">
        <f ca="1">IFERROR(__xludf.DUMMYFUNCTION("""COMPUTED_VALUE"""),0)</f>
        <v>0</v>
      </c>
      <c r="F3102" s="77"/>
      <c r="G3102" s="77"/>
    </row>
    <row r="3103" spans="1:7" ht="12.75" x14ac:dyDescent="0.2">
      <c r="A3103" s="78"/>
      <c r="B3103" s="78"/>
      <c r="C3103" s="78"/>
      <c r="D3103" s="78"/>
      <c r="E3103" s="80">
        <f ca="1">IFERROR(__xludf.DUMMYFUNCTION("""COMPUTED_VALUE"""),0)</f>
        <v>0</v>
      </c>
      <c r="F3103" s="77"/>
      <c r="G3103" s="77"/>
    </row>
    <row r="3104" spans="1:7" ht="12.75" x14ac:dyDescent="0.2">
      <c r="A3104" s="78"/>
      <c r="B3104" s="78"/>
      <c r="C3104" s="78"/>
      <c r="D3104" s="78"/>
      <c r="E3104" s="80">
        <f ca="1">IFERROR(__xludf.DUMMYFUNCTION("""COMPUTED_VALUE"""),0)</f>
        <v>0</v>
      </c>
      <c r="F3104" s="77"/>
      <c r="G3104" s="77"/>
    </row>
    <row r="3105" spans="1:7" ht="12.75" x14ac:dyDescent="0.2">
      <c r="A3105" s="78"/>
      <c r="B3105" s="78"/>
      <c r="C3105" s="78"/>
      <c r="D3105" s="78"/>
      <c r="E3105" s="80">
        <f ca="1">IFERROR(__xludf.DUMMYFUNCTION("""COMPUTED_VALUE"""),0)</f>
        <v>0</v>
      </c>
      <c r="F3105" s="77"/>
      <c r="G3105" s="77"/>
    </row>
    <row r="3106" spans="1:7" ht="12.75" x14ac:dyDescent="0.2">
      <c r="A3106" s="78"/>
      <c r="B3106" s="78"/>
      <c r="C3106" s="78"/>
      <c r="D3106" s="78"/>
      <c r="E3106" s="80">
        <f ca="1">IFERROR(__xludf.DUMMYFUNCTION("""COMPUTED_VALUE"""),0)</f>
        <v>0</v>
      </c>
      <c r="F3106" s="77"/>
      <c r="G3106" s="77"/>
    </row>
    <row r="3107" spans="1:7" ht="12.75" x14ac:dyDescent="0.2">
      <c r="A3107" s="78"/>
      <c r="B3107" s="78"/>
      <c r="C3107" s="78"/>
      <c r="D3107" s="78"/>
      <c r="E3107" s="80">
        <f ca="1">IFERROR(__xludf.DUMMYFUNCTION("""COMPUTED_VALUE"""),0)</f>
        <v>0</v>
      </c>
      <c r="F3107" s="77"/>
      <c r="G3107" s="77"/>
    </row>
    <row r="3108" spans="1:7" ht="12.75" x14ac:dyDescent="0.2">
      <c r="A3108" s="78"/>
      <c r="B3108" s="78"/>
      <c r="C3108" s="78"/>
      <c r="D3108" s="78"/>
      <c r="E3108" s="80">
        <f ca="1">IFERROR(__xludf.DUMMYFUNCTION("""COMPUTED_VALUE"""),0)</f>
        <v>0</v>
      </c>
      <c r="F3108" s="77"/>
      <c r="G3108" s="77"/>
    </row>
    <row r="3109" spans="1:7" ht="12.75" x14ac:dyDescent="0.2">
      <c r="A3109" s="78"/>
      <c r="B3109" s="78"/>
      <c r="C3109" s="78"/>
      <c r="D3109" s="78"/>
      <c r="E3109" s="80">
        <f ca="1">IFERROR(__xludf.DUMMYFUNCTION("""COMPUTED_VALUE"""),0)</f>
        <v>0</v>
      </c>
      <c r="F3109" s="77"/>
      <c r="G3109" s="77"/>
    </row>
    <row r="3110" spans="1:7" ht="12.75" x14ac:dyDescent="0.2">
      <c r="A3110" s="78"/>
      <c r="B3110" s="78"/>
      <c r="C3110" s="78"/>
      <c r="D3110" s="78"/>
      <c r="E3110" s="80">
        <f ca="1">IFERROR(__xludf.DUMMYFUNCTION("""COMPUTED_VALUE"""),0)</f>
        <v>0</v>
      </c>
      <c r="F3110" s="77"/>
      <c r="G3110" s="77"/>
    </row>
    <row r="3111" spans="1:7" ht="12.75" x14ac:dyDescent="0.2">
      <c r="A3111" s="78"/>
      <c r="B3111" s="78"/>
      <c r="C3111" s="78"/>
      <c r="D3111" s="78"/>
      <c r="E3111" s="80">
        <f ca="1">IFERROR(__xludf.DUMMYFUNCTION("""COMPUTED_VALUE"""),0)</f>
        <v>0</v>
      </c>
      <c r="F3111" s="77"/>
      <c r="G3111" s="77"/>
    </row>
    <row r="3112" spans="1:7" ht="12.75" x14ac:dyDescent="0.2">
      <c r="A3112" s="78"/>
      <c r="B3112" s="78"/>
      <c r="C3112" s="78"/>
      <c r="D3112" s="78"/>
      <c r="E3112" s="80">
        <f ca="1">IFERROR(__xludf.DUMMYFUNCTION("""COMPUTED_VALUE"""),0)</f>
        <v>0</v>
      </c>
      <c r="F3112" s="77"/>
      <c r="G3112" s="77"/>
    </row>
    <row r="3113" spans="1:7" ht="12.75" x14ac:dyDescent="0.2">
      <c r="A3113" s="78"/>
      <c r="B3113" s="78"/>
      <c r="C3113" s="78"/>
      <c r="D3113" s="78"/>
      <c r="E3113" s="80">
        <f ca="1">IFERROR(__xludf.DUMMYFUNCTION("""COMPUTED_VALUE"""),0)</f>
        <v>0</v>
      </c>
      <c r="F3113" s="77"/>
      <c r="G3113" s="77"/>
    </row>
    <row r="3114" spans="1:7" ht="12.75" x14ac:dyDescent="0.2">
      <c r="A3114" s="78"/>
      <c r="B3114" s="78"/>
      <c r="C3114" s="78"/>
      <c r="D3114" s="78"/>
      <c r="E3114" s="80">
        <f ca="1">IFERROR(__xludf.DUMMYFUNCTION("""COMPUTED_VALUE"""),0)</f>
        <v>0</v>
      </c>
      <c r="F3114" s="77"/>
      <c r="G3114" s="77"/>
    </row>
    <row r="3115" spans="1:7" ht="12.75" x14ac:dyDescent="0.2">
      <c r="A3115" s="78"/>
      <c r="B3115" s="78"/>
      <c r="C3115" s="78"/>
      <c r="D3115" s="78"/>
      <c r="E3115" s="80">
        <f ca="1">IFERROR(__xludf.DUMMYFUNCTION("""COMPUTED_VALUE"""),0)</f>
        <v>0</v>
      </c>
      <c r="F3115" s="77"/>
      <c r="G3115" s="77"/>
    </row>
    <row r="3116" spans="1:7" ht="12.75" x14ac:dyDescent="0.2">
      <c r="A3116" s="78"/>
      <c r="B3116" s="78"/>
      <c r="C3116" s="78"/>
      <c r="D3116" s="78"/>
      <c r="E3116" s="80">
        <f ca="1">IFERROR(__xludf.DUMMYFUNCTION("""COMPUTED_VALUE"""),0)</f>
        <v>0</v>
      </c>
      <c r="F3116" s="77"/>
      <c r="G3116" s="77"/>
    </row>
    <row r="3117" spans="1:7" ht="12.75" x14ac:dyDescent="0.2">
      <c r="A3117" s="78"/>
      <c r="B3117" s="78"/>
      <c r="C3117" s="78"/>
      <c r="D3117" s="78"/>
      <c r="E3117" s="80">
        <f ca="1">IFERROR(__xludf.DUMMYFUNCTION("""COMPUTED_VALUE"""),0)</f>
        <v>0</v>
      </c>
      <c r="F3117" s="77"/>
      <c r="G3117" s="77"/>
    </row>
    <row r="3118" spans="1:7" ht="12.75" x14ac:dyDescent="0.2">
      <c r="A3118" s="78"/>
      <c r="B3118" s="78"/>
      <c r="C3118" s="78"/>
      <c r="D3118" s="78"/>
      <c r="E3118" s="80">
        <f ca="1">IFERROR(__xludf.DUMMYFUNCTION("""COMPUTED_VALUE"""),0)</f>
        <v>0</v>
      </c>
      <c r="F3118" s="77"/>
      <c r="G3118" s="77"/>
    </row>
    <row r="3119" spans="1:7" ht="12.75" x14ac:dyDescent="0.2">
      <c r="A3119" s="78"/>
      <c r="B3119" s="78"/>
      <c r="C3119" s="78"/>
      <c r="D3119" s="78"/>
      <c r="E3119" s="80">
        <f ca="1">IFERROR(__xludf.DUMMYFUNCTION("""COMPUTED_VALUE"""),0)</f>
        <v>0</v>
      </c>
      <c r="F3119" s="77"/>
      <c r="G3119" s="77"/>
    </row>
    <row r="3120" spans="1:7" ht="12.75" x14ac:dyDescent="0.2">
      <c r="A3120" s="78"/>
      <c r="B3120" s="78"/>
      <c r="C3120" s="78"/>
      <c r="D3120" s="78"/>
      <c r="E3120" s="80">
        <f ca="1">IFERROR(__xludf.DUMMYFUNCTION("""COMPUTED_VALUE"""),0)</f>
        <v>0</v>
      </c>
      <c r="F3120" s="77"/>
      <c r="G3120" s="77"/>
    </row>
    <row r="3121" spans="1:7" ht="12.75" x14ac:dyDescent="0.2">
      <c r="A3121" s="78"/>
      <c r="B3121" s="78"/>
      <c r="C3121" s="78"/>
      <c r="D3121" s="78"/>
      <c r="E3121" s="80">
        <f ca="1">IFERROR(__xludf.DUMMYFUNCTION("""COMPUTED_VALUE"""),0)</f>
        <v>0</v>
      </c>
      <c r="F3121" s="77"/>
      <c r="G3121" s="77"/>
    </row>
    <row r="3122" spans="1:7" ht="12.75" x14ac:dyDescent="0.2">
      <c r="A3122" s="78"/>
      <c r="B3122" s="78"/>
      <c r="C3122" s="78"/>
      <c r="D3122" s="78"/>
      <c r="E3122" s="80">
        <f ca="1">IFERROR(__xludf.DUMMYFUNCTION("""COMPUTED_VALUE"""),0)</f>
        <v>0</v>
      </c>
      <c r="F3122" s="77"/>
      <c r="G3122" s="77"/>
    </row>
    <row r="3123" spans="1:7" ht="12.75" x14ac:dyDescent="0.2">
      <c r="A3123" s="78"/>
      <c r="B3123" s="78"/>
      <c r="C3123" s="78"/>
      <c r="D3123" s="78"/>
      <c r="E3123" s="80">
        <f ca="1">IFERROR(__xludf.DUMMYFUNCTION("""COMPUTED_VALUE"""),0)</f>
        <v>0</v>
      </c>
      <c r="F3123" s="77"/>
      <c r="G3123" s="77"/>
    </row>
    <row r="3124" spans="1:7" ht="12.75" x14ac:dyDescent="0.2">
      <c r="A3124" s="78"/>
      <c r="B3124" s="78"/>
      <c r="C3124" s="78"/>
      <c r="D3124" s="78"/>
      <c r="E3124" s="80">
        <f ca="1">IFERROR(__xludf.DUMMYFUNCTION("""COMPUTED_VALUE"""),0)</f>
        <v>0</v>
      </c>
      <c r="F3124" s="77"/>
      <c r="G3124" s="77"/>
    </row>
    <row r="3125" spans="1:7" ht="12.75" x14ac:dyDescent="0.2">
      <c r="A3125" s="78"/>
      <c r="B3125" s="78"/>
      <c r="C3125" s="78"/>
      <c r="D3125" s="78"/>
      <c r="E3125" s="80">
        <f ca="1">IFERROR(__xludf.DUMMYFUNCTION("""COMPUTED_VALUE"""),0)</f>
        <v>0</v>
      </c>
      <c r="F3125" s="77"/>
      <c r="G3125" s="77"/>
    </row>
    <row r="3126" spans="1:7" ht="12.75" x14ac:dyDescent="0.2">
      <c r="A3126" s="78"/>
      <c r="B3126" s="78"/>
      <c r="C3126" s="78"/>
      <c r="D3126" s="78"/>
      <c r="E3126" s="80">
        <f ca="1">IFERROR(__xludf.DUMMYFUNCTION("""COMPUTED_VALUE"""),0)</f>
        <v>0</v>
      </c>
      <c r="F3126" s="77"/>
      <c r="G3126" s="77"/>
    </row>
    <row r="3127" spans="1:7" ht="12.75" x14ac:dyDescent="0.2">
      <c r="A3127" s="78"/>
      <c r="B3127" s="78"/>
      <c r="C3127" s="78"/>
      <c r="D3127" s="78"/>
      <c r="E3127" s="80">
        <f ca="1">IFERROR(__xludf.DUMMYFUNCTION("""COMPUTED_VALUE"""),0)</f>
        <v>0</v>
      </c>
      <c r="F3127" s="77"/>
      <c r="G3127" s="77"/>
    </row>
    <row r="3128" spans="1:7" ht="12.75" x14ac:dyDescent="0.2">
      <c r="A3128" s="78"/>
      <c r="B3128" s="78"/>
      <c r="C3128" s="78"/>
      <c r="D3128" s="78"/>
      <c r="E3128" s="80">
        <f ca="1">IFERROR(__xludf.DUMMYFUNCTION("""COMPUTED_VALUE"""),0)</f>
        <v>0</v>
      </c>
      <c r="F3128" s="77"/>
      <c r="G3128" s="77"/>
    </row>
    <row r="3129" spans="1:7" ht="12.75" x14ac:dyDescent="0.2">
      <c r="A3129" s="78"/>
      <c r="B3129" s="78"/>
      <c r="C3129" s="78"/>
      <c r="D3129" s="78"/>
      <c r="E3129" s="80">
        <f ca="1">IFERROR(__xludf.DUMMYFUNCTION("""COMPUTED_VALUE"""),0)</f>
        <v>0</v>
      </c>
      <c r="F3129" s="77"/>
      <c r="G3129" s="77"/>
    </row>
    <row r="3130" spans="1:7" ht="12.75" x14ac:dyDescent="0.2">
      <c r="A3130" s="78"/>
      <c r="B3130" s="78"/>
      <c r="C3130" s="78"/>
      <c r="D3130" s="78"/>
      <c r="E3130" s="80">
        <f ca="1">IFERROR(__xludf.DUMMYFUNCTION("""COMPUTED_VALUE"""),0)</f>
        <v>0</v>
      </c>
      <c r="F3130" s="77"/>
      <c r="G3130" s="77"/>
    </row>
    <row r="3131" spans="1:7" ht="12.75" x14ac:dyDescent="0.2">
      <c r="A3131" s="78"/>
      <c r="B3131" s="78"/>
      <c r="C3131" s="78"/>
      <c r="D3131" s="78"/>
      <c r="E3131" s="80">
        <f ca="1">IFERROR(__xludf.DUMMYFUNCTION("""COMPUTED_VALUE"""),0)</f>
        <v>0</v>
      </c>
      <c r="F3131" s="77"/>
      <c r="G3131" s="77"/>
    </row>
    <row r="3132" spans="1:7" ht="12.75" x14ac:dyDescent="0.2">
      <c r="A3132" s="78"/>
      <c r="B3132" s="78"/>
      <c r="C3132" s="78"/>
      <c r="D3132" s="78"/>
      <c r="E3132" s="80">
        <f ca="1">IFERROR(__xludf.DUMMYFUNCTION("""COMPUTED_VALUE"""),0)</f>
        <v>0</v>
      </c>
      <c r="F3132" s="77"/>
      <c r="G3132" s="77"/>
    </row>
    <row r="3133" spans="1:7" ht="12.75" x14ac:dyDescent="0.2">
      <c r="A3133" s="78"/>
      <c r="B3133" s="78"/>
      <c r="C3133" s="78"/>
      <c r="D3133" s="78"/>
      <c r="E3133" s="80">
        <f ca="1">IFERROR(__xludf.DUMMYFUNCTION("""COMPUTED_VALUE"""),0)</f>
        <v>0</v>
      </c>
      <c r="F3133" s="77"/>
      <c r="G3133" s="77"/>
    </row>
    <row r="3134" spans="1:7" ht="12.75" x14ac:dyDescent="0.2">
      <c r="A3134" s="78"/>
      <c r="B3134" s="78"/>
      <c r="C3134" s="78"/>
      <c r="D3134" s="78"/>
      <c r="E3134" s="80">
        <f ca="1">IFERROR(__xludf.DUMMYFUNCTION("""COMPUTED_VALUE"""),0)</f>
        <v>0</v>
      </c>
      <c r="F3134" s="77"/>
      <c r="G3134" s="77"/>
    </row>
    <row r="3135" spans="1:7" ht="12.75" x14ac:dyDescent="0.2">
      <c r="A3135" s="78"/>
      <c r="B3135" s="78"/>
      <c r="C3135" s="78"/>
      <c r="D3135" s="78"/>
      <c r="E3135" s="80">
        <f ca="1">IFERROR(__xludf.DUMMYFUNCTION("""COMPUTED_VALUE"""),0)</f>
        <v>0</v>
      </c>
      <c r="F3135" s="77"/>
      <c r="G3135" s="77"/>
    </row>
    <row r="3136" spans="1:7" ht="12.75" x14ac:dyDescent="0.2">
      <c r="A3136" s="78"/>
      <c r="B3136" s="78"/>
      <c r="C3136" s="78"/>
      <c r="D3136" s="78"/>
      <c r="E3136" s="80">
        <f ca="1">IFERROR(__xludf.DUMMYFUNCTION("""COMPUTED_VALUE"""),0)</f>
        <v>0</v>
      </c>
      <c r="F3136" s="77"/>
      <c r="G3136" s="77"/>
    </row>
    <row r="3137" spans="1:7" ht="12.75" x14ac:dyDescent="0.2">
      <c r="A3137" s="78"/>
      <c r="B3137" s="78"/>
      <c r="C3137" s="78"/>
      <c r="D3137" s="78"/>
      <c r="E3137" s="80">
        <f ca="1">IFERROR(__xludf.DUMMYFUNCTION("""COMPUTED_VALUE"""),0)</f>
        <v>0</v>
      </c>
      <c r="F3137" s="77"/>
      <c r="G3137" s="77"/>
    </row>
    <row r="3138" spans="1:7" ht="12.75" x14ac:dyDescent="0.2">
      <c r="A3138" s="78"/>
      <c r="B3138" s="78"/>
      <c r="C3138" s="78"/>
      <c r="D3138" s="78"/>
      <c r="E3138" s="80">
        <f ca="1">IFERROR(__xludf.DUMMYFUNCTION("""COMPUTED_VALUE"""),0)</f>
        <v>0</v>
      </c>
      <c r="F3138" s="77"/>
      <c r="G3138" s="77"/>
    </row>
    <row r="3139" spans="1:7" ht="12.75" x14ac:dyDescent="0.2">
      <c r="A3139" s="78"/>
      <c r="B3139" s="78"/>
      <c r="C3139" s="78"/>
      <c r="D3139" s="78"/>
      <c r="E3139" s="80">
        <f ca="1">IFERROR(__xludf.DUMMYFUNCTION("""COMPUTED_VALUE"""),0)</f>
        <v>0</v>
      </c>
      <c r="F3139" s="77"/>
      <c r="G3139" s="77"/>
    </row>
    <row r="3140" spans="1:7" ht="12.75" x14ac:dyDescent="0.2">
      <c r="A3140" s="78"/>
      <c r="B3140" s="78"/>
      <c r="C3140" s="78"/>
      <c r="D3140" s="78"/>
      <c r="E3140" s="80">
        <f ca="1">IFERROR(__xludf.DUMMYFUNCTION("""COMPUTED_VALUE"""),0)</f>
        <v>0</v>
      </c>
      <c r="F3140" s="77"/>
      <c r="G3140" s="77"/>
    </row>
    <row r="3141" spans="1:7" ht="12.75" x14ac:dyDescent="0.2">
      <c r="A3141" s="78"/>
      <c r="B3141" s="78"/>
      <c r="C3141" s="78"/>
      <c r="D3141" s="78"/>
      <c r="E3141" s="80">
        <f ca="1">IFERROR(__xludf.DUMMYFUNCTION("""COMPUTED_VALUE"""),0)</f>
        <v>0</v>
      </c>
      <c r="F3141" s="77"/>
      <c r="G3141" s="77"/>
    </row>
    <row r="3142" spans="1:7" ht="12.75" x14ac:dyDescent="0.2">
      <c r="A3142" s="78"/>
      <c r="B3142" s="78"/>
      <c r="C3142" s="78"/>
      <c r="D3142" s="78"/>
      <c r="E3142" s="80">
        <f ca="1">IFERROR(__xludf.DUMMYFUNCTION("""COMPUTED_VALUE"""),0)</f>
        <v>0</v>
      </c>
      <c r="F3142" s="77"/>
      <c r="G3142" s="77"/>
    </row>
    <row r="3143" spans="1:7" ht="12.75" x14ac:dyDescent="0.2">
      <c r="A3143" s="78"/>
      <c r="B3143" s="78"/>
      <c r="C3143" s="78"/>
      <c r="D3143" s="78"/>
      <c r="E3143" s="80">
        <f ca="1">IFERROR(__xludf.DUMMYFUNCTION("""COMPUTED_VALUE"""),0)</f>
        <v>0</v>
      </c>
      <c r="F3143" s="77"/>
      <c r="G3143" s="77"/>
    </row>
    <row r="3144" spans="1:7" ht="12.75" x14ac:dyDescent="0.2">
      <c r="A3144" s="78"/>
      <c r="B3144" s="78"/>
      <c r="C3144" s="78"/>
      <c r="D3144" s="78"/>
      <c r="E3144" s="80">
        <f ca="1">IFERROR(__xludf.DUMMYFUNCTION("""COMPUTED_VALUE"""),0)</f>
        <v>0</v>
      </c>
      <c r="F3144" s="77"/>
      <c r="G3144" s="77"/>
    </row>
    <row r="3145" spans="1:7" ht="12.75" x14ac:dyDescent="0.2">
      <c r="A3145" s="78"/>
      <c r="B3145" s="78"/>
      <c r="C3145" s="78"/>
      <c r="D3145" s="78"/>
      <c r="E3145" s="80">
        <f ca="1">IFERROR(__xludf.DUMMYFUNCTION("""COMPUTED_VALUE"""),0)</f>
        <v>0</v>
      </c>
      <c r="F3145" s="77"/>
      <c r="G3145" s="77"/>
    </row>
    <row r="3146" spans="1:7" ht="12.75" x14ac:dyDescent="0.2">
      <c r="A3146" s="78"/>
      <c r="B3146" s="78"/>
      <c r="C3146" s="78"/>
      <c r="D3146" s="78"/>
      <c r="E3146" s="80">
        <f ca="1">IFERROR(__xludf.DUMMYFUNCTION("""COMPUTED_VALUE"""),0)</f>
        <v>0</v>
      </c>
      <c r="F3146" s="77"/>
      <c r="G3146" s="77"/>
    </row>
    <row r="3147" spans="1:7" ht="12.75" x14ac:dyDescent="0.2">
      <c r="A3147" s="78"/>
      <c r="B3147" s="78"/>
      <c r="C3147" s="78"/>
      <c r="D3147" s="78"/>
      <c r="E3147" s="80">
        <f ca="1">IFERROR(__xludf.DUMMYFUNCTION("""COMPUTED_VALUE"""),0)</f>
        <v>0</v>
      </c>
      <c r="F3147" s="77"/>
      <c r="G3147" s="77"/>
    </row>
    <row r="3148" spans="1:7" ht="12.75" x14ac:dyDescent="0.2">
      <c r="A3148" s="78"/>
      <c r="B3148" s="78"/>
      <c r="C3148" s="78"/>
      <c r="D3148" s="78"/>
      <c r="E3148" s="80">
        <f ca="1">IFERROR(__xludf.DUMMYFUNCTION("""COMPUTED_VALUE"""),0)</f>
        <v>0</v>
      </c>
      <c r="F3148" s="77"/>
      <c r="G3148" s="77"/>
    </row>
    <row r="3149" spans="1:7" ht="12.75" x14ac:dyDescent="0.2">
      <c r="A3149" s="78"/>
      <c r="B3149" s="78"/>
      <c r="C3149" s="78"/>
      <c r="D3149" s="78"/>
      <c r="E3149" s="80">
        <f ca="1">IFERROR(__xludf.DUMMYFUNCTION("""COMPUTED_VALUE"""),0)</f>
        <v>0</v>
      </c>
      <c r="F3149" s="77"/>
      <c r="G3149" s="77"/>
    </row>
    <row r="3150" spans="1:7" ht="12.75" x14ac:dyDescent="0.2">
      <c r="A3150" s="78"/>
      <c r="B3150" s="78"/>
      <c r="C3150" s="78"/>
      <c r="D3150" s="78"/>
      <c r="E3150" s="80">
        <f ca="1">IFERROR(__xludf.DUMMYFUNCTION("""COMPUTED_VALUE"""),0)</f>
        <v>0</v>
      </c>
      <c r="F3150" s="77"/>
      <c r="G3150" s="77"/>
    </row>
    <row r="3151" spans="1:7" ht="12.75" x14ac:dyDescent="0.2">
      <c r="A3151" s="78"/>
      <c r="B3151" s="78"/>
      <c r="C3151" s="78"/>
      <c r="D3151" s="78"/>
      <c r="E3151" s="80">
        <f ca="1">IFERROR(__xludf.DUMMYFUNCTION("""COMPUTED_VALUE"""),0)</f>
        <v>0</v>
      </c>
      <c r="F3151" s="77"/>
      <c r="G3151" s="77"/>
    </row>
    <row r="3152" spans="1:7" ht="12.75" x14ac:dyDescent="0.2">
      <c r="A3152" s="78"/>
      <c r="B3152" s="78"/>
      <c r="C3152" s="78"/>
      <c r="D3152" s="78"/>
      <c r="E3152" s="80">
        <f ca="1">IFERROR(__xludf.DUMMYFUNCTION("""COMPUTED_VALUE"""),0)</f>
        <v>0</v>
      </c>
      <c r="F3152" s="77"/>
      <c r="G3152" s="77"/>
    </row>
    <row r="3153" spans="1:7" ht="12.75" x14ac:dyDescent="0.2">
      <c r="A3153" s="78"/>
      <c r="B3153" s="78"/>
      <c r="C3153" s="78"/>
      <c r="D3153" s="78"/>
      <c r="E3153" s="80">
        <f ca="1">IFERROR(__xludf.DUMMYFUNCTION("""COMPUTED_VALUE"""),0)</f>
        <v>0</v>
      </c>
      <c r="F3153" s="77"/>
      <c r="G3153" s="77"/>
    </row>
    <row r="3154" spans="1:7" ht="12.75" x14ac:dyDescent="0.2">
      <c r="A3154" s="78"/>
      <c r="B3154" s="78"/>
      <c r="C3154" s="78"/>
      <c r="D3154" s="78"/>
      <c r="E3154" s="80">
        <f ca="1">IFERROR(__xludf.DUMMYFUNCTION("""COMPUTED_VALUE"""),0)</f>
        <v>0</v>
      </c>
      <c r="F3154" s="77"/>
      <c r="G3154" s="77"/>
    </row>
    <row r="3155" spans="1:7" ht="12.75" x14ac:dyDescent="0.2">
      <c r="A3155" s="78"/>
      <c r="B3155" s="78"/>
      <c r="C3155" s="78"/>
      <c r="D3155" s="78"/>
      <c r="E3155" s="80">
        <f ca="1">IFERROR(__xludf.DUMMYFUNCTION("""COMPUTED_VALUE"""),0)</f>
        <v>0</v>
      </c>
      <c r="F3155" s="77"/>
      <c r="G3155" s="77"/>
    </row>
    <row r="3156" spans="1:7" ht="12.75" x14ac:dyDescent="0.2">
      <c r="A3156" s="78"/>
      <c r="B3156" s="78"/>
      <c r="C3156" s="78"/>
      <c r="D3156" s="78"/>
      <c r="E3156" s="80">
        <f ca="1">IFERROR(__xludf.DUMMYFUNCTION("""COMPUTED_VALUE"""),0)</f>
        <v>0</v>
      </c>
      <c r="F3156" s="77"/>
      <c r="G3156" s="77"/>
    </row>
    <row r="3157" spans="1:7" ht="12.75" x14ac:dyDescent="0.2">
      <c r="A3157" s="78"/>
      <c r="B3157" s="78"/>
      <c r="C3157" s="78"/>
      <c r="D3157" s="78"/>
      <c r="E3157" s="80">
        <f ca="1">IFERROR(__xludf.DUMMYFUNCTION("""COMPUTED_VALUE"""),0)</f>
        <v>0</v>
      </c>
      <c r="F3157" s="77"/>
      <c r="G3157" s="77"/>
    </row>
    <row r="3158" spans="1:7" ht="12.75" x14ac:dyDescent="0.2">
      <c r="A3158" s="78"/>
      <c r="B3158" s="78"/>
      <c r="C3158" s="78"/>
      <c r="D3158" s="78"/>
      <c r="E3158" s="80">
        <f ca="1">IFERROR(__xludf.DUMMYFUNCTION("""COMPUTED_VALUE"""),0)</f>
        <v>0</v>
      </c>
      <c r="F3158" s="77"/>
      <c r="G3158" s="77"/>
    </row>
    <row r="3159" spans="1:7" ht="12.75" x14ac:dyDescent="0.2">
      <c r="A3159" s="78"/>
      <c r="B3159" s="78"/>
      <c r="C3159" s="78"/>
      <c r="D3159" s="78"/>
      <c r="E3159" s="80">
        <f ca="1">IFERROR(__xludf.DUMMYFUNCTION("""COMPUTED_VALUE"""),0)</f>
        <v>0</v>
      </c>
      <c r="F3159" s="77"/>
      <c r="G3159" s="77"/>
    </row>
    <row r="3160" spans="1:7" ht="12.75" x14ac:dyDescent="0.2">
      <c r="A3160" s="78"/>
      <c r="B3160" s="78"/>
      <c r="C3160" s="78"/>
      <c r="D3160" s="78"/>
      <c r="E3160" s="80">
        <f ca="1">IFERROR(__xludf.DUMMYFUNCTION("""COMPUTED_VALUE"""),0)</f>
        <v>0</v>
      </c>
      <c r="F3160" s="77"/>
      <c r="G3160" s="77"/>
    </row>
    <row r="3161" spans="1:7" ht="12.75" x14ac:dyDescent="0.2">
      <c r="A3161" s="78"/>
      <c r="B3161" s="78"/>
      <c r="C3161" s="78"/>
      <c r="D3161" s="78"/>
      <c r="E3161" s="80">
        <f ca="1">IFERROR(__xludf.DUMMYFUNCTION("""COMPUTED_VALUE"""),0)</f>
        <v>0</v>
      </c>
      <c r="F3161" s="77"/>
      <c r="G3161" s="77"/>
    </row>
    <row r="3162" spans="1:7" ht="12.75" x14ac:dyDescent="0.2">
      <c r="A3162" s="78"/>
      <c r="B3162" s="78"/>
      <c r="C3162" s="78"/>
      <c r="D3162" s="78"/>
      <c r="E3162" s="80">
        <f ca="1">IFERROR(__xludf.DUMMYFUNCTION("""COMPUTED_VALUE"""),0)</f>
        <v>0</v>
      </c>
      <c r="F3162" s="77"/>
      <c r="G3162" s="77"/>
    </row>
    <row r="3163" spans="1:7" ht="12.75" x14ac:dyDescent="0.2">
      <c r="A3163" s="78"/>
      <c r="B3163" s="78"/>
      <c r="C3163" s="78"/>
      <c r="D3163" s="78"/>
      <c r="E3163" s="80">
        <f ca="1">IFERROR(__xludf.DUMMYFUNCTION("""COMPUTED_VALUE"""),0)</f>
        <v>0</v>
      </c>
      <c r="F3163" s="77"/>
      <c r="G3163" s="77"/>
    </row>
    <row r="3164" spans="1:7" ht="12.75" x14ac:dyDescent="0.2">
      <c r="A3164" s="78"/>
      <c r="B3164" s="78"/>
      <c r="C3164" s="78"/>
      <c r="D3164" s="78"/>
      <c r="E3164" s="80">
        <f ca="1">IFERROR(__xludf.DUMMYFUNCTION("""COMPUTED_VALUE"""),0)</f>
        <v>0</v>
      </c>
      <c r="F3164" s="77"/>
      <c r="G3164" s="77"/>
    </row>
    <row r="3165" spans="1:7" ht="12.75" x14ac:dyDescent="0.2">
      <c r="A3165" s="78"/>
      <c r="B3165" s="78"/>
      <c r="C3165" s="78"/>
      <c r="D3165" s="78"/>
      <c r="E3165" s="80">
        <f ca="1">IFERROR(__xludf.DUMMYFUNCTION("""COMPUTED_VALUE"""),0)</f>
        <v>0</v>
      </c>
      <c r="F3165" s="77"/>
      <c r="G3165" s="77"/>
    </row>
    <row r="3166" spans="1:7" ht="12.75" x14ac:dyDescent="0.2">
      <c r="A3166" s="78"/>
      <c r="B3166" s="78"/>
      <c r="C3166" s="78"/>
      <c r="D3166" s="78"/>
      <c r="E3166" s="80">
        <f ca="1">IFERROR(__xludf.DUMMYFUNCTION("""COMPUTED_VALUE"""),0)</f>
        <v>0</v>
      </c>
      <c r="F3166" s="77"/>
      <c r="G3166" s="77"/>
    </row>
    <row r="3167" spans="1:7" ht="12.75" x14ac:dyDescent="0.2">
      <c r="A3167" s="78"/>
      <c r="B3167" s="78"/>
      <c r="C3167" s="78"/>
      <c r="D3167" s="78"/>
      <c r="E3167" s="80">
        <f ca="1">IFERROR(__xludf.DUMMYFUNCTION("""COMPUTED_VALUE"""),0)</f>
        <v>0</v>
      </c>
      <c r="F3167" s="77"/>
      <c r="G3167" s="77"/>
    </row>
    <row r="3168" spans="1:7" ht="12.75" x14ac:dyDescent="0.2">
      <c r="A3168" s="78"/>
      <c r="B3168" s="78"/>
      <c r="C3168" s="78"/>
      <c r="D3168" s="78"/>
      <c r="E3168" s="80">
        <f ca="1">IFERROR(__xludf.DUMMYFUNCTION("""COMPUTED_VALUE"""),0)</f>
        <v>0</v>
      </c>
      <c r="F3168" s="77"/>
      <c r="G3168" s="77"/>
    </row>
    <row r="3169" spans="1:7" ht="12.75" x14ac:dyDescent="0.2">
      <c r="A3169" s="78"/>
      <c r="B3169" s="78"/>
      <c r="C3169" s="78"/>
      <c r="D3169" s="78"/>
      <c r="E3169" s="80">
        <f ca="1">IFERROR(__xludf.DUMMYFUNCTION("""COMPUTED_VALUE"""),0)</f>
        <v>0</v>
      </c>
      <c r="F3169" s="77"/>
      <c r="G3169" s="77"/>
    </row>
    <row r="3170" spans="1:7" ht="12.75" x14ac:dyDescent="0.2">
      <c r="A3170" s="78"/>
      <c r="B3170" s="78"/>
      <c r="C3170" s="78"/>
      <c r="D3170" s="78"/>
      <c r="E3170" s="80">
        <f ca="1">IFERROR(__xludf.DUMMYFUNCTION("""COMPUTED_VALUE"""),0)</f>
        <v>0</v>
      </c>
      <c r="F3170" s="77"/>
      <c r="G3170" s="77"/>
    </row>
    <row r="3171" spans="1:7" ht="12.75" x14ac:dyDescent="0.2">
      <c r="A3171" s="78"/>
      <c r="B3171" s="78"/>
      <c r="C3171" s="78"/>
      <c r="D3171" s="78"/>
      <c r="E3171" s="80">
        <f ca="1">IFERROR(__xludf.DUMMYFUNCTION("""COMPUTED_VALUE"""),0)</f>
        <v>0</v>
      </c>
      <c r="F3171" s="77"/>
      <c r="G3171" s="77"/>
    </row>
    <row r="3172" spans="1:7" ht="12.75" x14ac:dyDescent="0.2">
      <c r="A3172" s="78"/>
      <c r="B3172" s="78"/>
      <c r="C3172" s="78"/>
      <c r="D3172" s="78"/>
      <c r="E3172" s="80">
        <f ca="1">IFERROR(__xludf.DUMMYFUNCTION("""COMPUTED_VALUE"""),0)</f>
        <v>0</v>
      </c>
      <c r="F3172" s="77"/>
      <c r="G3172" s="77"/>
    </row>
    <row r="3173" spans="1:7" ht="12.75" x14ac:dyDescent="0.2">
      <c r="A3173" s="78"/>
      <c r="B3173" s="78"/>
      <c r="C3173" s="78"/>
      <c r="D3173" s="78"/>
      <c r="E3173" s="80">
        <f ca="1">IFERROR(__xludf.DUMMYFUNCTION("""COMPUTED_VALUE"""),0)</f>
        <v>0</v>
      </c>
      <c r="F3173" s="77"/>
      <c r="G3173" s="77"/>
    </row>
    <row r="3174" spans="1:7" ht="12.75" x14ac:dyDescent="0.2">
      <c r="A3174" s="78"/>
      <c r="B3174" s="78"/>
      <c r="C3174" s="78"/>
      <c r="D3174" s="78"/>
      <c r="E3174" s="80">
        <f ca="1">IFERROR(__xludf.DUMMYFUNCTION("""COMPUTED_VALUE"""),0)</f>
        <v>0</v>
      </c>
      <c r="F3174" s="77"/>
      <c r="G3174" s="77"/>
    </row>
    <row r="3175" spans="1:7" ht="12.75" x14ac:dyDescent="0.2">
      <c r="A3175" s="78"/>
      <c r="B3175" s="78"/>
      <c r="C3175" s="78"/>
      <c r="D3175" s="78"/>
      <c r="E3175" s="80">
        <f ca="1">IFERROR(__xludf.DUMMYFUNCTION("""COMPUTED_VALUE"""),0)</f>
        <v>0</v>
      </c>
      <c r="F3175" s="77"/>
      <c r="G3175" s="77"/>
    </row>
    <row r="3176" spans="1:7" ht="12.75" x14ac:dyDescent="0.2">
      <c r="A3176" s="78"/>
      <c r="B3176" s="78"/>
      <c r="C3176" s="78"/>
      <c r="D3176" s="78"/>
      <c r="E3176" s="80">
        <f ca="1">IFERROR(__xludf.DUMMYFUNCTION("""COMPUTED_VALUE"""),0)</f>
        <v>0</v>
      </c>
      <c r="F3176" s="77"/>
      <c r="G3176" s="77"/>
    </row>
    <row r="3177" spans="1:7" ht="12.75" x14ac:dyDescent="0.2">
      <c r="A3177" s="78"/>
      <c r="B3177" s="78"/>
      <c r="C3177" s="78"/>
      <c r="D3177" s="78"/>
      <c r="E3177" s="80">
        <f ca="1">IFERROR(__xludf.DUMMYFUNCTION("""COMPUTED_VALUE"""),0)</f>
        <v>0</v>
      </c>
      <c r="F3177" s="77"/>
      <c r="G3177" s="77"/>
    </row>
    <row r="3178" spans="1:7" ht="12.75" x14ac:dyDescent="0.2">
      <c r="A3178" s="78"/>
      <c r="B3178" s="78"/>
      <c r="C3178" s="78"/>
      <c r="D3178" s="78"/>
      <c r="E3178" s="80">
        <f ca="1">IFERROR(__xludf.DUMMYFUNCTION("""COMPUTED_VALUE"""),0)</f>
        <v>0</v>
      </c>
      <c r="F3178" s="77"/>
      <c r="G3178" s="77"/>
    </row>
    <row r="3179" spans="1:7" ht="12.75" x14ac:dyDescent="0.2">
      <c r="A3179" s="78"/>
      <c r="B3179" s="78"/>
      <c r="C3179" s="78"/>
      <c r="D3179" s="78"/>
      <c r="E3179" s="80">
        <f ca="1">IFERROR(__xludf.DUMMYFUNCTION("""COMPUTED_VALUE"""),0)</f>
        <v>0</v>
      </c>
      <c r="F3179" s="77"/>
      <c r="G3179" s="77"/>
    </row>
    <row r="3180" spans="1:7" ht="12.75" x14ac:dyDescent="0.2">
      <c r="A3180" s="78"/>
      <c r="B3180" s="78"/>
      <c r="C3180" s="78"/>
      <c r="D3180" s="78"/>
      <c r="E3180" s="80">
        <f ca="1">IFERROR(__xludf.DUMMYFUNCTION("""COMPUTED_VALUE"""),0)</f>
        <v>0</v>
      </c>
      <c r="F3180" s="77"/>
      <c r="G3180" s="77"/>
    </row>
    <row r="3181" spans="1:7" ht="12.75" x14ac:dyDescent="0.2">
      <c r="A3181" s="78"/>
      <c r="B3181" s="78"/>
      <c r="C3181" s="78"/>
      <c r="D3181" s="78"/>
      <c r="E3181" s="80">
        <f ca="1">IFERROR(__xludf.DUMMYFUNCTION("""COMPUTED_VALUE"""),0)</f>
        <v>0</v>
      </c>
      <c r="F3181" s="77"/>
      <c r="G3181" s="77"/>
    </row>
    <row r="3182" spans="1:7" ht="12.75" x14ac:dyDescent="0.2">
      <c r="A3182" s="78"/>
      <c r="B3182" s="78"/>
      <c r="C3182" s="78"/>
      <c r="D3182" s="78"/>
      <c r="E3182" s="80">
        <f ca="1">IFERROR(__xludf.DUMMYFUNCTION("""COMPUTED_VALUE"""),0)</f>
        <v>0</v>
      </c>
      <c r="F3182" s="77"/>
      <c r="G3182" s="77"/>
    </row>
    <row r="3183" spans="1:7" ht="12.75" x14ac:dyDescent="0.2">
      <c r="A3183" s="78"/>
      <c r="B3183" s="78"/>
      <c r="C3183" s="78"/>
      <c r="D3183" s="78"/>
      <c r="E3183" s="80">
        <f ca="1">IFERROR(__xludf.DUMMYFUNCTION("""COMPUTED_VALUE"""),0)</f>
        <v>0</v>
      </c>
      <c r="F3183" s="77"/>
      <c r="G3183" s="77"/>
    </row>
    <row r="3184" spans="1:7" ht="12.75" x14ac:dyDescent="0.2">
      <c r="A3184" s="78"/>
      <c r="B3184" s="78"/>
      <c r="C3184" s="78"/>
      <c r="D3184" s="78"/>
      <c r="E3184" s="80">
        <f ca="1">IFERROR(__xludf.DUMMYFUNCTION("""COMPUTED_VALUE"""),0)</f>
        <v>0</v>
      </c>
      <c r="F3184" s="77"/>
      <c r="G3184" s="77"/>
    </row>
    <row r="3185" spans="1:7" ht="12.75" x14ac:dyDescent="0.2">
      <c r="A3185" s="78"/>
      <c r="B3185" s="78"/>
      <c r="C3185" s="78"/>
      <c r="D3185" s="78"/>
      <c r="E3185" s="80">
        <f ca="1">IFERROR(__xludf.DUMMYFUNCTION("""COMPUTED_VALUE"""),0)</f>
        <v>0</v>
      </c>
      <c r="F3185" s="77"/>
      <c r="G3185" s="77"/>
    </row>
    <row r="3186" spans="1:7" ht="12.75" x14ac:dyDescent="0.2">
      <c r="A3186" s="78"/>
      <c r="B3186" s="78"/>
      <c r="C3186" s="78"/>
      <c r="D3186" s="78"/>
      <c r="E3186" s="80">
        <f ca="1">IFERROR(__xludf.DUMMYFUNCTION("""COMPUTED_VALUE"""),0)</f>
        <v>0</v>
      </c>
      <c r="F3186" s="77"/>
      <c r="G3186" s="77"/>
    </row>
    <row r="3187" spans="1:7" ht="12.75" x14ac:dyDescent="0.2">
      <c r="A3187" s="78"/>
      <c r="B3187" s="78"/>
      <c r="C3187" s="78"/>
      <c r="D3187" s="78"/>
      <c r="E3187" s="80">
        <f ca="1">IFERROR(__xludf.DUMMYFUNCTION("""COMPUTED_VALUE"""),0)</f>
        <v>0</v>
      </c>
      <c r="F3187" s="77"/>
      <c r="G3187" s="77"/>
    </row>
    <row r="3188" spans="1:7" ht="12.75" x14ac:dyDescent="0.2">
      <c r="A3188" s="78"/>
      <c r="B3188" s="78"/>
      <c r="C3188" s="78"/>
      <c r="D3188" s="78"/>
      <c r="E3188" s="80">
        <f ca="1">IFERROR(__xludf.DUMMYFUNCTION("""COMPUTED_VALUE"""),0)</f>
        <v>0</v>
      </c>
      <c r="F3188" s="77"/>
      <c r="G3188" s="77"/>
    </row>
    <row r="3189" spans="1:7" ht="12.75" x14ac:dyDescent="0.2">
      <c r="A3189" s="78"/>
      <c r="B3189" s="78"/>
      <c r="C3189" s="78"/>
      <c r="D3189" s="78"/>
      <c r="E3189" s="80">
        <f ca="1">IFERROR(__xludf.DUMMYFUNCTION("""COMPUTED_VALUE"""),0)</f>
        <v>0</v>
      </c>
      <c r="F3189" s="77"/>
      <c r="G3189" s="77"/>
    </row>
    <row r="3190" spans="1:7" ht="12.75" x14ac:dyDescent="0.2">
      <c r="A3190" s="78"/>
      <c r="B3190" s="78"/>
      <c r="C3190" s="78"/>
      <c r="D3190" s="78"/>
      <c r="E3190" s="80">
        <f ca="1">IFERROR(__xludf.DUMMYFUNCTION("""COMPUTED_VALUE"""),0)</f>
        <v>0</v>
      </c>
      <c r="F3190" s="77"/>
      <c r="G3190" s="77"/>
    </row>
    <row r="3191" spans="1:7" ht="12.75" x14ac:dyDescent="0.2">
      <c r="A3191" s="78"/>
      <c r="B3191" s="78"/>
      <c r="C3191" s="78"/>
      <c r="D3191" s="78"/>
      <c r="E3191" s="80">
        <f ca="1">IFERROR(__xludf.DUMMYFUNCTION("""COMPUTED_VALUE"""),0)</f>
        <v>0</v>
      </c>
      <c r="F3191" s="77"/>
      <c r="G3191" s="77"/>
    </row>
    <row r="3192" spans="1:7" ht="12.75" x14ac:dyDescent="0.2">
      <c r="A3192" s="78"/>
      <c r="B3192" s="78"/>
      <c r="C3192" s="78"/>
      <c r="D3192" s="78"/>
      <c r="E3192" s="80">
        <f ca="1">IFERROR(__xludf.DUMMYFUNCTION("""COMPUTED_VALUE"""),0)</f>
        <v>0</v>
      </c>
      <c r="F3192" s="77"/>
      <c r="G3192" s="77"/>
    </row>
    <row r="3193" spans="1:7" ht="12.75" x14ac:dyDescent="0.2">
      <c r="A3193" s="78"/>
      <c r="B3193" s="78"/>
      <c r="C3193" s="78"/>
      <c r="D3193" s="78"/>
      <c r="E3193" s="80">
        <f ca="1">IFERROR(__xludf.DUMMYFUNCTION("""COMPUTED_VALUE"""),0)</f>
        <v>0</v>
      </c>
      <c r="F3193" s="77"/>
      <c r="G3193" s="77"/>
    </row>
    <row r="3194" spans="1:7" ht="12.75" x14ac:dyDescent="0.2">
      <c r="A3194" s="78"/>
      <c r="B3194" s="78"/>
      <c r="C3194" s="78"/>
      <c r="D3194" s="78"/>
      <c r="E3194" s="80">
        <f ca="1">IFERROR(__xludf.DUMMYFUNCTION("""COMPUTED_VALUE"""),0)</f>
        <v>0</v>
      </c>
      <c r="F3194" s="77"/>
      <c r="G3194" s="77"/>
    </row>
    <row r="3195" spans="1:7" ht="12.75" x14ac:dyDescent="0.2">
      <c r="A3195" s="78"/>
      <c r="B3195" s="78"/>
      <c r="C3195" s="78"/>
      <c r="D3195" s="78"/>
      <c r="E3195" s="80">
        <f ca="1">IFERROR(__xludf.DUMMYFUNCTION("""COMPUTED_VALUE"""),0)</f>
        <v>0</v>
      </c>
      <c r="F3195" s="77"/>
      <c r="G3195" s="77"/>
    </row>
    <row r="3196" spans="1:7" ht="12.75" x14ac:dyDescent="0.2">
      <c r="A3196" s="78"/>
      <c r="B3196" s="78"/>
      <c r="C3196" s="78"/>
      <c r="D3196" s="78"/>
      <c r="E3196" s="80">
        <f ca="1">IFERROR(__xludf.DUMMYFUNCTION("""COMPUTED_VALUE"""),0)</f>
        <v>0</v>
      </c>
      <c r="F3196" s="77"/>
      <c r="G3196" s="77"/>
    </row>
    <row r="3197" spans="1:7" ht="12.75" x14ac:dyDescent="0.2">
      <c r="A3197" s="78"/>
      <c r="B3197" s="78"/>
      <c r="C3197" s="78"/>
      <c r="D3197" s="78"/>
      <c r="E3197" s="80">
        <f ca="1">IFERROR(__xludf.DUMMYFUNCTION("""COMPUTED_VALUE"""),0)</f>
        <v>0</v>
      </c>
      <c r="F3197" s="77"/>
      <c r="G3197" s="77"/>
    </row>
    <row r="3198" spans="1:7" ht="12.75" x14ac:dyDescent="0.2">
      <c r="A3198" s="78"/>
      <c r="B3198" s="78"/>
      <c r="C3198" s="78"/>
      <c r="D3198" s="78"/>
      <c r="E3198" s="80">
        <f ca="1">IFERROR(__xludf.DUMMYFUNCTION("""COMPUTED_VALUE"""),0)</f>
        <v>0</v>
      </c>
      <c r="F3198" s="77"/>
      <c r="G3198" s="77"/>
    </row>
    <row r="3199" spans="1:7" ht="12.75" x14ac:dyDescent="0.2">
      <c r="A3199" s="78"/>
      <c r="B3199" s="78"/>
      <c r="C3199" s="78"/>
      <c r="D3199" s="78"/>
      <c r="E3199" s="80">
        <f ca="1">IFERROR(__xludf.DUMMYFUNCTION("""COMPUTED_VALUE"""),0)</f>
        <v>0</v>
      </c>
      <c r="F3199" s="77"/>
      <c r="G3199" s="77"/>
    </row>
    <row r="3200" spans="1:7" ht="12.75" x14ac:dyDescent="0.2">
      <c r="A3200" s="78"/>
      <c r="B3200" s="78"/>
      <c r="C3200" s="78"/>
      <c r="D3200" s="78"/>
      <c r="E3200" s="80">
        <f ca="1">IFERROR(__xludf.DUMMYFUNCTION("""COMPUTED_VALUE"""),0)</f>
        <v>0</v>
      </c>
      <c r="F3200" s="77"/>
      <c r="G3200" s="77"/>
    </row>
    <row r="3201" spans="1:7" ht="12.75" x14ac:dyDescent="0.2">
      <c r="A3201" s="78"/>
      <c r="B3201" s="78"/>
      <c r="C3201" s="78"/>
      <c r="D3201" s="78"/>
      <c r="E3201" s="80">
        <f ca="1">IFERROR(__xludf.DUMMYFUNCTION("""COMPUTED_VALUE"""),0)</f>
        <v>0</v>
      </c>
      <c r="F3201" s="77"/>
      <c r="G3201" s="77"/>
    </row>
    <row r="3202" spans="1:7" ht="12.75" x14ac:dyDescent="0.2">
      <c r="A3202" s="78"/>
      <c r="B3202" s="78"/>
      <c r="C3202" s="78"/>
      <c r="D3202" s="78"/>
      <c r="E3202" s="80">
        <f ca="1">IFERROR(__xludf.DUMMYFUNCTION("""COMPUTED_VALUE"""),0)</f>
        <v>0</v>
      </c>
      <c r="F3202" s="77"/>
      <c r="G3202" s="77"/>
    </row>
    <row r="3203" spans="1:7" ht="12.75" x14ac:dyDescent="0.2">
      <c r="A3203" s="78"/>
      <c r="B3203" s="78"/>
      <c r="C3203" s="78"/>
      <c r="D3203" s="78"/>
      <c r="E3203" s="80">
        <f ca="1">IFERROR(__xludf.DUMMYFUNCTION("""COMPUTED_VALUE"""),0)</f>
        <v>0</v>
      </c>
      <c r="F3203" s="77"/>
      <c r="G3203" s="77"/>
    </row>
    <row r="3204" spans="1:7" ht="12.75" x14ac:dyDescent="0.2">
      <c r="A3204" s="78"/>
      <c r="B3204" s="78"/>
      <c r="C3204" s="78"/>
      <c r="D3204" s="78"/>
      <c r="E3204" s="80">
        <f ca="1">IFERROR(__xludf.DUMMYFUNCTION("""COMPUTED_VALUE"""),0)</f>
        <v>0</v>
      </c>
      <c r="F3204" s="77"/>
      <c r="G3204" s="77"/>
    </row>
    <row r="3205" spans="1:7" ht="12.75" x14ac:dyDescent="0.2">
      <c r="A3205" s="78"/>
      <c r="B3205" s="78"/>
      <c r="C3205" s="78"/>
      <c r="D3205" s="78"/>
      <c r="E3205" s="80">
        <f ca="1">IFERROR(__xludf.DUMMYFUNCTION("""COMPUTED_VALUE"""),0)</f>
        <v>0</v>
      </c>
      <c r="F3205" s="77"/>
      <c r="G3205" s="77"/>
    </row>
    <row r="3206" spans="1:7" ht="12.75" x14ac:dyDescent="0.2">
      <c r="A3206" s="78"/>
      <c r="B3206" s="78"/>
      <c r="C3206" s="78"/>
      <c r="D3206" s="78"/>
      <c r="E3206" s="80">
        <f ca="1">IFERROR(__xludf.DUMMYFUNCTION("""COMPUTED_VALUE"""),0)</f>
        <v>0</v>
      </c>
      <c r="F3206" s="77"/>
      <c r="G3206" s="77"/>
    </row>
    <row r="3207" spans="1:7" ht="12.75" x14ac:dyDescent="0.2">
      <c r="A3207" s="78"/>
      <c r="B3207" s="78"/>
      <c r="C3207" s="78"/>
      <c r="D3207" s="78"/>
      <c r="E3207" s="80">
        <f ca="1">IFERROR(__xludf.DUMMYFUNCTION("""COMPUTED_VALUE"""),0)</f>
        <v>0</v>
      </c>
      <c r="F3207" s="77"/>
      <c r="G3207" s="77"/>
    </row>
    <row r="3208" spans="1:7" ht="12.75" x14ac:dyDescent="0.2">
      <c r="A3208" s="78"/>
      <c r="B3208" s="78"/>
      <c r="C3208" s="78"/>
      <c r="D3208" s="78"/>
      <c r="E3208" s="80">
        <f ca="1">IFERROR(__xludf.DUMMYFUNCTION("""COMPUTED_VALUE"""),0)</f>
        <v>0</v>
      </c>
      <c r="F3208" s="77"/>
      <c r="G3208" s="77"/>
    </row>
    <row r="3209" spans="1:7" ht="12.75" x14ac:dyDescent="0.2">
      <c r="A3209" s="78"/>
      <c r="B3209" s="78"/>
      <c r="C3209" s="78"/>
      <c r="D3209" s="78"/>
      <c r="E3209" s="80">
        <f ca="1">IFERROR(__xludf.DUMMYFUNCTION("""COMPUTED_VALUE"""),0)</f>
        <v>0</v>
      </c>
      <c r="F3209" s="77"/>
      <c r="G3209" s="77"/>
    </row>
    <row r="3210" spans="1:7" ht="12.75" x14ac:dyDescent="0.2">
      <c r="A3210" s="78"/>
      <c r="B3210" s="78"/>
      <c r="C3210" s="78"/>
      <c r="D3210" s="78"/>
      <c r="E3210" s="80">
        <f ca="1">IFERROR(__xludf.DUMMYFUNCTION("""COMPUTED_VALUE"""),0)</f>
        <v>0</v>
      </c>
      <c r="F3210" s="77"/>
      <c r="G3210" s="77"/>
    </row>
    <row r="3211" spans="1:7" ht="12.75" x14ac:dyDescent="0.2">
      <c r="A3211" s="78"/>
      <c r="B3211" s="78"/>
      <c r="C3211" s="78"/>
      <c r="D3211" s="78"/>
      <c r="E3211" s="80">
        <f ca="1">IFERROR(__xludf.DUMMYFUNCTION("""COMPUTED_VALUE"""),0)</f>
        <v>0</v>
      </c>
      <c r="F3211" s="77"/>
      <c r="G3211" s="77"/>
    </row>
    <row r="3212" spans="1:7" ht="12.75" x14ac:dyDescent="0.2">
      <c r="A3212" s="78"/>
      <c r="B3212" s="78"/>
      <c r="C3212" s="78"/>
      <c r="D3212" s="78"/>
      <c r="E3212" s="80">
        <f ca="1">IFERROR(__xludf.DUMMYFUNCTION("""COMPUTED_VALUE"""),0)</f>
        <v>0</v>
      </c>
      <c r="F3212" s="77"/>
      <c r="G3212" s="77"/>
    </row>
    <row r="3213" spans="1:7" ht="12.75" x14ac:dyDescent="0.2">
      <c r="A3213" s="78"/>
      <c r="B3213" s="78"/>
      <c r="C3213" s="78"/>
      <c r="D3213" s="78"/>
      <c r="E3213" s="80">
        <f ca="1">IFERROR(__xludf.DUMMYFUNCTION("""COMPUTED_VALUE"""),0)</f>
        <v>0</v>
      </c>
      <c r="F3213" s="77"/>
      <c r="G3213" s="77"/>
    </row>
    <row r="3214" spans="1:7" ht="12.75" x14ac:dyDescent="0.2">
      <c r="A3214" s="78"/>
      <c r="B3214" s="78"/>
      <c r="C3214" s="78"/>
      <c r="D3214" s="78"/>
      <c r="E3214" s="80">
        <f ca="1">IFERROR(__xludf.DUMMYFUNCTION("""COMPUTED_VALUE"""),0)</f>
        <v>0</v>
      </c>
      <c r="F3214" s="77"/>
      <c r="G3214" s="77"/>
    </row>
    <row r="3215" spans="1:7" ht="12.75" x14ac:dyDescent="0.2">
      <c r="A3215" s="78"/>
      <c r="B3215" s="78"/>
      <c r="C3215" s="78"/>
      <c r="D3215" s="78"/>
      <c r="E3215" s="80">
        <f ca="1">IFERROR(__xludf.DUMMYFUNCTION("""COMPUTED_VALUE"""),0)</f>
        <v>0</v>
      </c>
      <c r="F3215" s="77"/>
      <c r="G3215" s="77"/>
    </row>
    <row r="3216" spans="1:7" ht="12.75" x14ac:dyDescent="0.2">
      <c r="A3216" s="78"/>
      <c r="B3216" s="78"/>
      <c r="C3216" s="78"/>
      <c r="D3216" s="78"/>
      <c r="E3216" s="80">
        <f ca="1">IFERROR(__xludf.DUMMYFUNCTION("""COMPUTED_VALUE"""),0)</f>
        <v>0</v>
      </c>
      <c r="F3216" s="77"/>
      <c r="G3216" s="77"/>
    </row>
    <row r="3217" spans="1:7" ht="12.75" x14ac:dyDescent="0.2">
      <c r="A3217" s="78"/>
      <c r="B3217" s="78"/>
      <c r="C3217" s="78"/>
      <c r="D3217" s="78"/>
      <c r="E3217" s="80">
        <f ca="1">IFERROR(__xludf.DUMMYFUNCTION("""COMPUTED_VALUE"""),0)</f>
        <v>0</v>
      </c>
      <c r="F3217" s="77"/>
      <c r="G3217" s="77"/>
    </row>
    <row r="3218" spans="1:7" ht="12.75" x14ac:dyDescent="0.2">
      <c r="A3218" s="78"/>
      <c r="B3218" s="78"/>
      <c r="C3218" s="78"/>
      <c r="D3218" s="78"/>
      <c r="E3218" s="80">
        <f ca="1">IFERROR(__xludf.DUMMYFUNCTION("""COMPUTED_VALUE"""),0)</f>
        <v>0</v>
      </c>
      <c r="F3218" s="77"/>
      <c r="G3218" s="77"/>
    </row>
    <row r="3219" spans="1:7" ht="12.75" x14ac:dyDescent="0.2">
      <c r="A3219" s="78"/>
      <c r="B3219" s="78"/>
      <c r="C3219" s="78"/>
      <c r="D3219" s="78"/>
      <c r="E3219" s="80">
        <f ca="1">IFERROR(__xludf.DUMMYFUNCTION("""COMPUTED_VALUE"""),0)</f>
        <v>0</v>
      </c>
      <c r="F3219" s="77"/>
      <c r="G3219" s="77"/>
    </row>
    <row r="3220" spans="1:7" ht="12.75" x14ac:dyDescent="0.2">
      <c r="A3220" s="78"/>
      <c r="B3220" s="78"/>
      <c r="C3220" s="78"/>
      <c r="D3220" s="78"/>
      <c r="E3220" s="80">
        <f ca="1">IFERROR(__xludf.DUMMYFUNCTION("""COMPUTED_VALUE"""),0)</f>
        <v>0</v>
      </c>
      <c r="F3220" s="77"/>
      <c r="G3220" s="77"/>
    </row>
    <row r="3221" spans="1:7" ht="12.75" x14ac:dyDescent="0.2">
      <c r="A3221" s="78"/>
      <c r="B3221" s="78"/>
      <c r="C3221" s="78"/>
      <c r="D3221" s="78"/>
      <c r="E3221" s="80">
        <f ca="1">IFERROR(__xludf.DUMMYFUNCTION("""COMPUTED_VALUE"""),0)</f>
        <v>0</v>
      </c>
      <c r="F3221" s="77"/>
      <c r="G3221" s="77"/>
    </row>
    <row r="3222" spans="1:7" ht="12.75" x14ac:dyDescent="0.2">
      <c r="A3222" s="78"/>
      <c r="B3222" s="78"/>
      <c r="C3222" s="78"/>
      <c r="D3222" s="78"/>
      <c r="E3222" s="80">
        <f ca="1">IFERROR(__xludf.DUMMYFUNCTION("""COMPUTED_VALUE"""),0)</f>
        <v>0</v>
      </c>
      <c r="F3222" s="77"/>
      <c r="G3222" s="77"/>
    </row>
    <row r="3223" spans="1:7" ht="12.75" x14ac:dyDescent="0.2">
      <c r="A3223" s="78"/>
      <c r="B3223" s="78"/>
      <c r="C3223" s="78"/>
      <c r="D3223" s="78"/>
      <c r="E3223" s="80">
        <f ca="1">IFERROR(__xludf.DUMMYFUNCTION("""COMPUTED_VALUE"""),0)</f>
        <v>0</v>
      </c>
      <c r="F3223" s="77"/>
      <c r="G3223" s="77"/>
    </row>
    <row r="3224" spans="1:7" ht="12.75" x14ac:dyDescent="0.2">
      <c r="A3224" s="78"/>
      <c r="B3224" s="78"/>
      <c r="C3224" s="78"/>
      <c r="D3224" s="78"/>
      <c r="E3224" s="80">
        <f ca="1">IFERROR(__xludf.DUMMYFUNCTION("""COMPUTED_VALUE"""),0)</f>
        <v>0</v>
      </c>
      <c r="F3224" s="77"/>
      <c r="G3224" s="77"/>
    </row>
    <row r="3225" spans="1:7" ht="12.75" x14ac:dyDescent="0.2">
      <c r="A3225" s="78"/>
      <c r="B3225" s="78"/>
      <c r="C3225" s="78"/>
      <c r="D3225" s="78"/>
      <c r="E3225" s="80">
        <f ca="1">IFERROR(__xludf.DUMMYFUNCTION("""COMPUTED_VALUE"""),0)</f>
        <v>0</v>
      </c>
      <c r="F3225" s="77"/>
      <c r="G3225" s="77"/>
    </row>
    <row r="3226" spans="1:7" ht="12.75" x14ac:dyDescent="0.2">
      <c r="A3226" s="78"/>
      <c r="B3226" s="78"/>
      <c r="C3226" s="78"/>
      <c r="D3226" s="78"/>
      <c r="E3226" s="80">
        <f ca="1">IFERROR(__xludf.DUMMYFUNCTION("""COMPUTED_VALUE"""),0)</f>
        <v>0</v>
      </c>
      <c r="F3226" s="77"/>
      <c r="G3226" s="77"/>
    </row>
    <row r="3227" spans="1:7" ht="12.75" x14ac:dyDescent="0.2">
      <c r="A3227" s="78"/>
      <c r="B3227" s="78"/>
      <c r="C3227" s="78"/>
      <c r="D3227" s="78"/>
      <c r="E3227" s="80">
        <f ca="1">IFERROR(__xludf.DUMMYFUNCTION("""COMPUTED_VALUE"""),0)</f>
        <v>0</v>
      </c>
      <c r="F3227" s="77"/>
      <c r="G3227" s="77"/>
    </row>
    <row r="3228" spans="1:7" ht="12.75" x14ac:dyDescent="0.2">
      <c r="A3228" s="78"/>
      <c r="B3228" s="78"/>
      <c r="C3228" s="78"/>
      <c r="D3228" s="78"/>
      <c r="E3228" s="80">
        <f ca="1">IFERROR(__xludf.DUMMYFUNCTION("""COMPUTED_VALUE"""),0)</f>
        <v>0</v>
      </c>
      <c r="F3228" s="77"/>
      <c r="G3228" s="77"/>
    </row>
    <row r="3229" spans="1:7" ht="12.75" x14ac:dyDescent="0.2">
      <c r="A3229" s="78"/>
      <c r="B3229" s="78"/>
      <c r="C3229" s="78"/>
      <c r="D3229" s="78"/>
      <c r="E3229" s="80">
        <f ca="1">IFERROR(__xludf.DUMMYFUNCTION("""COMPUTED_VALUE"""),0)</f>
        <v>0</v>
      </c>
      <c r="F3229" s="77"/>
      <c r="G3229" s="77"/>
    </row>
    <row r="3230" spans="1:7" ht="12.75" x14ac:dyDescent="0.2">
      <c r="A3230" s="78"/>
      <c r="B3230" s="78"/>
      <c r="C3230" s="78"/>
      <c r="D3230" s="78"/>
      <c r="E3230" s="80">
        <f ca="1">IFERROR(__xludf.DUMMYFUNCTION("""COMPUTED_VALUE"""),0)</f>
        <v>0</v>
      </c>
      <c r="F3230" s="77"/>
      <c r="G3230" s="77"/>
    </row>
    <row r="3231" spans="1:7" ht="12.75" x14ac:dyDescent="0.2">
      <c r="A3231" s="78"/>
      <c r="B3231" s="78"/>
      <c r="C3231" s="78"/>
      <c r="D3231" s="78"/>
      <c r="E3231" s="80">
        <f ca="1">IFERROR(__xludf.DUMMYFUNCTION("""COMPUTED_VALUE"""),0)</f>
        <v>0</v>
      </c>
      <c r="F3231" s="77"/>
      <c r="G3231" s="77"/>
    </row>
    <row r="3232" spans="1:7" ht="12.75" x14ac:dyDescent="0.2">
      <c r="A3232" s="78"/>
      <c r="B3232" s="78"/>
      <c r="C3232" s="78"/>
      <c r="D3232" s="78"/>
      <c r="E3232" s="80">
        <f ca="1">IFERROR(__xludf.DUMMYFUNCTION("""COMPUTED_VALUE"""),0)</f>
        <v>0</v>
      </c>
      <c r="F3232" s="77"/>
      <c r="G3232" s="77"/>
    </row>
    <row r="3233" spans="1:7" ht="12.75" x14ac:dyDescent="0.2">
      <c r="A3233" s="78"/>
      <c r="B3233" s="78"/>
      <c r="C3233" s="78"/>
      <c r="D3233" s="78"/>
      <c r="E3233" s="80">
        <f ca="1">IFERROR(__xludf.DUMMYFUNCTION("""COMPUTED_VALUE"""),0)</f>
        <v>0</v>
      </c>
      <c r="F3233" s="77"/>
      <c r="G3233" s="77"/>
    </row>
    <row r="3234" spans="1:7" ht="12.75" x14ac:dyDescent="0.2">
      <c r="A3234" s="78"/>
      <c r="B3234" s="78"/>
      <c r="C3234" s="78"/>
      <c r="D3234" s="78"/>
      <c r="E3234" s="80">
        <f ca="1">IFERROR(__xludf.DUMMYFUNCTION("""COMPUTED_VALUE"""),0)</f>
        <v>0</v>
      </c>
      <c r="F3234" s="77"/>
      <c r="G3234" s="77"/>
    </row>
    <row r="3235" spans="1:7" ht="12.75" x14ac:dyDescent="0.2">
      <c r="A3235" s="78"/>
      <c r="B3235" s="78"/>
      <c r="C3235" s="78"/>
      <c r="D3235" s="78"/>
      <c r="E3235" s="80">
        <f ca="1">IFERROR(__xludf.DUMMYFUNCTION("""COMPUTED_VALUE"""),0)</f>
        <v>0</v>
      </c>
      <c r="F3235" s="77"/>
      <c r="G3235" s="77"/>
    </row>
    <row r="3236" spans="1:7" ht="12.75" x14ac:dyDescent="0.2">
      <c r="A3236" s="78"/>
      <c r="B3236" s="78"/>
      <c r="C3236" s="78"/>
      <c r="D3236" s="78"/>
      <c r="E3236" s="80">
        <f ca="1">IFERROR(__xludf.DUMMYFUNCTION("""COMPUTED_VALUE"""),0)</f>
        <v>0</v>
      </c>
      <c r="F3236" s="77"/>
      <c r="G3236" s="77"/>
    </row>
    <row r="3237" spans="1:7" ht="12.75" x14ac:dyDescent="0.2">
      <c r="A3237" s="78"/>
      <c r="B3237" s="78"/>
      <c r="C3237" s="78"/>
      <c r="D3237" s="78"/>
      <c r="E3237" s="80">
        <f ca="1">IFERROR(__xludf.DUMMYFUNCTION("""COMPUTED_VALUE"""),0)</f>
        <v>0</v>
      </c>
      <c r="F3237" s="77"/>
      <c r="G3237" s="77"/>
    </row>
    <row r="3238" spans="1:7" ht="12.75" x14ac:dyDescent="0.2">
      <c r="A3238" s="78"/>
      <c r="B3238" s="78"/>
      <c r="C3238" s="78"/>
      <c r="D3238" s="78"/>
      <c r="E3238" s="80">
        <f ca="1">IFERROR(__xludf.DUMMYFUNCTION("""COMPUTED_VALUE"""),0)</f>
        <v>0</v>
      </c>
      <c r="F3238" s="77"/>
      <c r="G3238" s="77"/>
    </row>
    <row r="3239" spans="1:7" ht="12.75" x14ac:dyDescent="0.2">
      <c r="A3239" s="78"/>
      <c r="B3239" s="78"/>
      <c r="C3239" s="78"/>
      <c r="D3239" s="78"/>
      <c r="E3239" s="80">
        <f ca="1">IFERROR(__xludf.DUMMYFUNCTION("""COMPUTED_VALUE"""),0)</f>
        <v>0</v>
      </c>
      <c r="F3239" s="77"/>
      <c r="G3239" s="77"/>
    </row>
    <row r="3240" spans="1:7" ht="12.75" x14ac:dyDescent="0.2">
      <c r="A3240" s="78"/>
      <c r="B3240" s="78"/>
      <c r="C3240" s="78"/>
      <c r="D3240" s="78"/>
      <c r="E3240" s="80">
        <f ca="1">IFERROR(__xludf.DUMMYFUNCTION("""COMPUTED_VALUE"""),0)</f>
        <v>0</v>
      </c>
      <c r="F3240" s="77"/>
      <c r="G3240" s="77"/>
    </row>
    <row r="3241" spans="1:7" ht="12.75" x14ac:dyDescent="0.2">
      <c r="A3241" s="78"/>
      <c r="B3241" s="78"/>
      <c r="C3241" s="78"/>
      <c r="D3241" s="78"/>
      <c r="E3241" s="80">
        <f ca="1">IFERROR(__xludf.DUMMYFUNCTION("""COMPUTED_VALUE"""),0)</f>
        <v>0</v>
      </c>
      <c r="F3241" s="77"/>
      <c r="G3241" s="77"/>
    </row>
    <row r="3242" spans="1:7" ht="12.75" x14ac:dyDescent="0.2">
      <c r="A3242" s="78"/>
      <c r="B3242" s="78"/>
      <c r="C3242" s="78"/>
      <c r="D3242" s="78"/>
      <c r="E3242" s="80">
        <f ca="1">IFERROR(__xludf.DUMMYFUNCTION("""COMPUTED_VALUE"""),0)</f>
        <v>0</v>
      </c>
      <c r="F3242" s="77"/>
      <c r="G3242" s="77"/>
    </row>
    <row r="3243" spans="1:7" ht="12.75" x14ac:dyDescent="0.2">
      <c r="A3243" s="78"/>
      <c r="B3243" s="78"/>
      <c r="C3243" s="78"/>
      <c r="D3243" s="78"/>
      <c r="E3243" s="80">
        <f ca="1">IFERROR(__xludf.DUMMYFUNCTION("""COMPUTED_VALUE"""),0)</f>
        <v>0</v>
      </c>
      <c r="F3243" s="77"/>
      <c r="G3243" s="77"/>
    </row>
    <row r="3244" spans="1:7" ht="12.75" x14ac:dyDescent="0.2">
      <c r="A3244" s="78"/>
      <c r="B3244" s="78"/>
      <c r="C3244" s="78"/>
      <c r="D3244" s="78"/>
      <c r="E3244" s="80">
        <f ca="1">IFERROR(__xludf.DUMMYFUNCTION("""COMPUTED_VALUE"""),0)</f>
        <v>0</v>
      </c>
      <c r="F3244" s="77"/>
      <c r="G3244" s="77"/>
    </row>
    <row r="3245" spans="1:7" ht="12.75" x14ac:dyDescent="0.2">
      <c r="A3245" s="78"/>
      <c r="B3245" s="78"/>
      <c r="C3245" s="78"/>
      <c r="D3245" s="78"/>
      <c r="E3245" s="80">
        <f ca="1">IFERROR(__xludf.DUMMYFUNCTION("""COMPUTED_VALUE"""),0)</f>
        <v>0</v>
      </c>
      <c r="F3245" s="77"/>
      <c r="G3245" s="77"/>
    </row>
    <row r="3246" spans="1:7" ht="12.75" x14ac:dyDescent="0.2">
      <c r="A3246" s="78"/>
      <c r="B3246" s="78"/>
      <c r="C3246" s="78"/>
      <c r="D3246" s="78"/>
      <c r="E3246" s="80">
        <f ca="1">IFERROR(__xludf.DUMMYFUNCTION("""COMPUTED_VALUE"""),0)</f>
        <v>0</v>
      </c>
      <c r="F3246" s="77"/>
      <c r="G3246" s="77"/>
    </row>
    <row r="3247" spans="1:7" ht="12.75" x14ac:dyDescent="0.2">
      <c r="A3247" s="78"/>
      <c r="B3247" s="78"/>
      <c r="C3247" s="78"/>
      <c r="D3247" s="78"/>
      <c r="E3247" s="80">
        <f ca="1">IFERROR(__xludf.DUMMYFUNCTION("""COMPUTED_VALUE"""),0)</f>
        <v>0</v>
      </c>
      <c r="F3247" s="77"/>
      <c r="G3247" s="77"/>
    </row>
    <row r="3248" spans="1:7" ht="12.75" x14ac:dyDescent="0.2">
      <c r="A3248" s="78"/>
      <c r="B3248" s="78"/>
      <c r="C3248" s="78"/>
      <c r="D3248" s="78"/>
      <c r="E3248" s="80">
        <f ca="1">IFERROR(__xludf.DUMMYFUNCTION("""COMPUTED_VALUE"""),0)</f>
        <v>0</v>
      </c>
      <c r="F3248" s="77"/>
      <c r="G3248" s="77"/>
    </row>
    <row r="3249" spans="1:7" ht="12.75" x14ac:dyDescent="0.2">
      <c r="A3249" s="78"/>
      <c r="B3249" s="78"/>
      <c r="C3249" s="78"/>
      <c r="D3249" s="78"/>
      <c r="E3249" s="80">
        <f ca="1">IFERROR(__xludf.DUMMYFUNCTION("""COMPUTED_VALUE"""),0)</f>
        <v>0</v>
      </c>
      <c r="F3249" s="77"/>
      <c r="G3249" s="77"/>
    </row>
    <row r="3250" spans="1:7" ht="12.75" x14ac:dyDescent="0.2">
      <c r="A3250" s="78"/>
      <c r="B3250" s="78"/>
      <c r="C3250" s="78"/>
      <c r="D3250" s="78"/>
      <c r="E3250" s="80">
        <f ca="1">IFERROR(__xludf.DUMMYFUNCTION("""COMPUTED_VALUE"""),0)</f>
        <v>0</v>
      </c>
      <c r="F3250" s="77"/>
      <c r="G3250" s="77"/>
    </row>
    <row r="3251" spans="1:7" ht="12.75" x14ac:dyDescent="0.2">
      <c r="A3251" s="78"/>
      <c r="B3251" s="78"/>
      <c r="C3251" s="78"/>
      <c r="D3251" s="78"/>
      <c r="E3251" s="80">
        <f ca="1">IFERROR(__xludf.DUMMYFUNCTION("""COMPUTED_VALUE"""),0)</f>
        <v>0</v>
      </c>
      <c r="F3251" s="77"/>
      <c r="G3251" s="77"/>
    </row>
    <row r="3252" spans="1:7" ht="12.75" x14ac:dyDescent="0.2">
      <c r="A3252" s="78"/>
      <c r="B3252" s="78"/>
      <c r="C3252" s="78"/>
      <c r="D3252" s="78"/>
      <c r="E3252" s="80">
        <f ca="1">IFERROR(__xludf.DUMMYFUNCTION("""COMPUTED_VALUE"""),0)</f>
        <v>0</v>
      </c>
      <c r="F3252" s="77"/>
      <c r="G3252" s="77"/>
    </row>
    <row r="3253" spans="1:7" ht="12.75" x14ac:dyDescent="0.2">
      <c r="A3253" s="78"/>
      <c r="B3253" s="78"/>
      <c r="C3253" s="78"/>
      <c r="D3253" s="78"/>
      <c r="E3253" s="80">
        <f ca="1">IFERROR(__xludf.DUMMYFUNCTION("""COMPUTED_VALUE"""),0)</f>
        <v>0</v>
      </c>
      <c r="F3253" s="77"/>
      <c r="G3253" s="77"/>
    </row>
    <row r="3254" spans="1:7" ht="12.75" x14ac:dyDescent="0.2">
      <c r="A3254" s="78"/>
      <c r="B3254" s="78"/>
      <c r="C3254" s="78"/>
      <c r="D3254" s="78"/>
      <c r="E3254" s="80">
        <f ca="1">IFERROR(__xludf.DUMMYFUNCTION("""COMPUTED_VALUE"""),0)</f>
        <v>0</v>
      </c>
      <c r="F3254" s="77"/>
      <c r="G3254" s="77"/>
    </row>
    <row r="3255" spans="1:7" ht="12.75" x14ac:dyDescent="0.2">
      <c r="A3255" s="78"/>
      <c r="B3255" s="78"/>
      <c r="C3255" s="78"/>
      <c r="D3255" s="78"/>
      <c r="E3255" s="80">
        <f ca="1">IFERROR(__xludf.DUMMYFUNCTION("""COMPUTED_VALUE"""),0)</f>
        <v>0</v>
      </c>
      <c r="F3255" s="77"/>
      <c r="G3255" s="77"/>
    </row>
    <row r="3256" spans="1:7" ht="12.75" x14ac:dyDescent="0.2">
      <c r="A3256" s="78"/>
      <c r="B3256" s="78"/>
      <c r="C3256" s="78"/>
      <c r="D3256" s="78"/>
      <c r="E3256" s="80">
        <f ca="1">IFERROR(__xludf.DUMMYFUNCTION("""COMPUTED_VALUE"""),0)</f>
        <v>0</v>
      </c>
      <c r="F3256" s="77"/>
      <c r="G3256" s="77"/>
    </row>
    <row r="3257" spans="1:7" ht="12.75" x14ac:dyDescent="0.2">
      <c r="A3257" s="78"/>
      <c r="B3257" s="78"/>
      <c r="C3257" s="78"/>
      <c r="D3257" s="78"/>
      <c r="E3257" s="80">
        <f ca="1">IFERROR(__xludf.DUMMYFUNCTION("""COMPUTED_VALUE"""),0)</f>
        <v>0</v>
      </c>
      <c r="F3257" s="77"/>
      <c r="G3257" s="77"/>
    </row>
    <row r="3258" spans="1:7" ht="12.75" x14ac:dyDescent="0.2">
      <c r="A3258" s="78"/>
      <c r="B3258" s="78"/>
      <c r="C3258" s="78"/>
      <c r="D3258" s="78"/>
      <c r="E3258" s="80">
        <f ca="1">IFERROR(__xludf.DUMMYFUNCTION("""COMPUTED_VALUE"""),0)</f>
        <v>0</v>
      </c>
      <c r="F3258" s="77"/>
      <c r="G3258" s="77"/>
    </row>
    <row r="3259" spans="1:7" ht="12.75" x14ac:dyDescent="0.2">
      <c r="A3259" s="78"/>
      <c r="B3259" s="78"/>
      <c r="C3259" s="78"/>
      <c r="D3259" s="78"/>
      <c r="E3259" s="80">
        <f ca="1">IFERROR(__xludf.DUMMYFUNCTION("""COMPUTED_VALUE"""),0)</f>
        <v>0</v>
      </c>
      <c r="F3259" s="77"/>
      <c r="G3259" s="77"/>
    </row>
    <row r="3260" spans="1:7" ht="12.75" x14ac:dyDescent="0.2">
      <c r="A3260" s="78"/>
      <c r="B3260" s="78"/>
      <c r="C3260" s="78"/>
      <c r="D3260" s="78"/>
      <c r="E3260" s="80">
        <f ca="1">IFERROR(__xludf.DUMMYFUNCTION("""COMPUTED_VALUE"""),0)</f>
        <v>0</v>
      </c>
      <c r="F3260" s="77"/>
      <c r="G3260" s="77"/>
    </row>
    <row r="3261" spans="1:7" ht="12.75" x14ac:dyDescent="0.2">
      <c r="A3261" s="78"/>
      <c r="B3261" s="78"/>
      <c r="C3261" s="78"/>
      <c r="D3261" s="78"/>
      <c r="E3261" s="80">
        <f ca="1">IFERROR(__xludf.DUMMYFUNCTION("""COMPUTED_VALUE"""),0)</f>
        <v>0</v>
      </c>
      <c r="F3261" s="77"/>
      <c r="G3261" s="77"/>
    </row>
    <row r="3262" spans="1:7" ht="12.75" x14ac:dyDescent="0.2">
      <c r="A3262" s="78"/>
      <c r="B3262" s="78"/>
      <c r="C3262" s="78"/>
      <c r="D3262" s="78"/>
      <c r="E3262" s="80">
        <f ca="1">IFERROR(__xludf.DUMMYFUNCTION("""COMPUTED_VALUE"""),0)</f>
        <v>0</v>
      </c>
      <c r="F3262" s="77"/>
      <c r="G3262" s="77"/>
    </row>
    <row r="3263" spans="1:7" ht="12.75" x14ac:dyDescent="0.2">
      <c r="A3263" s="78"/>
      <c r="B3263" s="78"/>
      <c r="C3263" s="78"/>
      <c r="D3263" s="78"/>
      <c r="E3263" s="80">
        <f ca="1">IFERROR(__xludf.DUMMYFUNCTION("""COMPUTED_VALUE"""),0)</f>
        <v>0</v>
      </c>
      <c r="F3263" s="77"/>
      <c r="G3263" s="77"/>
    </row>
    <row r="3264" spans="1:7" ht="12.75" x14ac:dyDescent="0.2">
      <c r="A3264" s="78"/>
      <c r="B3264" s="78"/>
      <c r="C3264" s="78"/>
      <c r="D3264" s="78"/>
      <c r="E3264" s="80">
        <f ca="1">IFERROR(__xludf.DUMMYFUNCTION("""COMPUTED_VALUE"""),0)</f>
        <v>0</v>
      </c>
      <c r="F3264" s="77"/>
      <c r="G3264" s="77"/>
    </row>
    <row r="3265" spans="1:7" ht="12.75" x14ac:dyDescent="0.2">
      <c r="A3265" s="78"/>
      <c r="B3265" s="78"/>
      <c r="C3265" s="78"/>
      <c r="D3265" s="78"/>
      <c r="E3265" s="80">
        <f ca="1">IFERROR(__xludf.DUMMYFUNCTION("""COMPUTED_VALUE"""),0)</f>
        <v>0</v>
      </c>
      <c r="F3265" s="77"/>
      <c r="G3265" s="77"/>
    </row>
    <row r="3266" spans="1:7" ht="12.75" x14ac:dyDescent="0.2">
      <c r="A3266" s="78"/>
      <c r="B3266" s="78"/>
      <c r="C3266" s="78"/>
      <c r="D3266" s="78"/>
      <c r="E3266" s="80">
        <f ca="1">IFERROR(__xludf.DUMMYFUNCTION("""COMPUTED_VALUE"""),0)</f>
        <v>0</v>
      </c>
      <c r="F3266" s="77"/>
      <c r="G3266" s="77"/>
    </row>
    <row r="3267" spans="1:7" ht="12.75" x14ac:dyDescent="0.2">
      <c r="A3267" s="78"/>
      <c r="B3267" s="78"/>
      <c r="C3267" s="78"/>
      <c r="D3267" s="78"/>
      <c r="E3267" s="80">
        <f ca="1">IFERROR(__xludf.DUMMYFUNCTION("""COMPUTED_VALUE"""),0)</f>
        <v>0</v>
      </c>
      <c r="F3267" s="77"/>
      <c r="G3267" s="77"/>
    </row>
    <row r="3268" spans="1:7" ht="12.75" x14ac:dyDescent="0.2">
      <c r="A3268" s="78"/>
      <c r="B3268" s="78"/>
      <c r="C3268" s="78"/>
      <c r="D3268" s="78"/>
      <c r="E3268" s="80">
        <f ca="1">IFERROR(__xludf.DUMMYFUNCTION("""COMPUTED_VALUE"""),0)</f>
        <v>0</v>
      </c>
      <c r="F3268" s="77"/>
      <c r="G3268" s="77"/>
    </row>
    <row r="3269" spans="1:7" ht="12.75" x14ac:dyDescent="0.2">
      <c r="A3269" s="78"/>
      <c r="B3269" s="78"/>
      <c r="C3269" s="78"/>
      <c r="D3269" s="78"/>
      <c r="E3269" s="80">
        <f ca="1">IFERROR(__xludf.DUMMYFUNCTION("""COMPUTED_VALUE"""),0)</f>
        <v>0</v>
      </c>
      <c r="F3269" s="77"/>
      <c r="G3269" s="77"/>
    </row>
    <row r="3270" spans="1:7" ht="12.75" x14ac:dyDescent="0.2">
      <c r="A3270" s="78"/>
      <c r="B3270" s="78"/>
      <c r="C3270" s="78"/>
      <c r="D3270" s="78"/>
      <c r="E3270" s="80">
        <f ca="1">IFERROR(__xludf.DUMMYFUNCTION("""COMPUTED_VALUE"""),0)</f>
        <v>0</v>
      </c>
      <c r="F3270" s="77"/>
      <c r="G3270" s="77"/>
    </row>
    <row r="3271" spans="1:7" ht="12.75" x14ac:dyDescent="0.2">
      <c r="A3271" s="78"/>
      <c r="B3271" s="78"/>
      <c r="C3271" s="78"/>
      <c r="D3271" s="78"/>
      <c r="E3271" s="80">
        <f ca="1">IFERROR(__xludf.DUMMYFUNCTION("""COMPUTED_VALUE"""),0)</f>
        <v>0</v>
      </c>
      <c r="F3271" s="77"/>
      <c r="G3271" s="77"/>
    </row>
    <row r="3272" spans="1:7" ht="12.75" x14ac:dyDescent="0.2">
      <c r="A3272" s="78"/>
      <c r="B3272" s="78"/>
      <c r="C3272" s="78"/>
      <c r="D3272" s="78"/>
      <c r="E3272" s="80">
        <f ca="1">IFERROR(__xludf.DUMMYFUNCTION("""COMPUTED_VALUE"""),0)</f>
        <v>0</v>
      </c>
      <c r="F3272" s="77"/>
      <c r="G3272" s="77"/>
    </row>
    <row r="3273" spans="1:7" ht="12.75" x14ac:dyDescent="0.2">
      <c r="A3273" s="78"/>
      <c r="B3273" s="78"/>
      <c r="C3273" s="78"/>
      <c r="D3273" s="78"/>
      <c r="E3273" s="80">
        <f ca="1">IFERROR(__xludf.DUMMYFUNCTION("""COMPUTED_VALUE"""),0)</f>
        <v>0</v>
      </c>
      <c r="F3273" s="77"/>
      <c r="G3273" s="77"/>
    </row>
    <row r="3274" spans="1:7" ht="12.75" x14ac:dyDescent="0.2">
      <c r="A3274" s="78"/>
      <c r="B3274" s="78"/>
      <c r="C3274" s="78"/>
      <c r="D3274" s="78"/>
      <c r="E3274" s="80">
        <f ca="1">IFERROR(__xludf.DUMMYFUNCTION("""COMPUTED_VALUE"""),0)</f>
        <v>0</v>
      </c>
      <c r="F3274" s="77"/>
      <c r="G3274" s="77"/>
    </row>
    <row r="3275" spans="1:7" ht="12.75" x14ac:dyDescent="0.2">
      <c r="A3275" s="78"/>
      <c r="B3275" s="78"/>
      <c r="C3275" s="78"/>
      <c r="D3275" s="78"/>
      <c r="E3275" s="80">
        <f ca="1">IFERROR(__xludf.DUMMYFUNCTION("""COMPUTED_VALUE"""),0)</f>
        <v>0</v>
      </c>
      <c r="F3275" s="77"/>
      <c r="G3275" s="77"/>
    </row>
    <row r="3276" spans="1:7" ht="12.75" x14ac:dyDescent="0.2">
      <c r="A3276" s="78"/>
      <c r="B3276" s="78"/>
      <c r="C3276" s="78"/>
      <c r="D3276" s="78"/>
      <c r="E3276" s="80">
        <f ca="1">IFERROR(__xludf.DUMMYFUNCTION("""COMPUTED_VALUE"""),0)</f>
        <v>0</v>
      </c>
      <c r="F3276" s="77"/>
      <c r="G3276" s="77"/>
    </row>
    <row r="3277" spans="1:7" ht="12.75" x14ac:dyDescent="0.2">
      <c r="A3277" s="78"/>
      <c r="B3277" s="78"/>
      <c r="C3277" s="78"/>
      <c r="D3277" s="78"/>
      <c r="E3277" s="80">
        <f ca="1">IFERROR(__xludf.DUMMYFUNCTION("""COMPUTED_VALUE"""),0)</f>
        <v>0</v>
      </c>
      <c r="F3277" s="77"/>
      <c r="G3277" s="77"/>
    </row>
    <row r="3278" spans="1:7" ht="12.75" x14ac:dyDescent="0.2">
      <c r="A3278" s="78"/>
      <c r="B3278" s="78"/>
      <c r="C3278" s="78"/>
      <c r="D3278" s="78"/>
      <c r="E3278" s="80">
        <f ca="1">IFERROR(__xludf.DUMMYFUNCTION("""COMPUTED_VALUE"""),0)</f>
        <v>0</v>
      </c>
      <c r="F3278" s="77"/>
      <c r="G3278" s="77"/>
    </row>
    <row r="3279" spans="1:7" ht="12.75" x14ac:dyDescent="0.2">
      <c r="A3279" s="78"/>
      <c r="B3279" s="78"/>
      <c r="C3279" s="78"/>
      <c r="D3279" s="78"/>
      <c r="E3279" s="80">
        <f ca="1">IFERROR(__xludf.DUMMYFUNCTION("""COMPUTED_VALUE"""),0)</f>
        <v>0</v>
      </c>
      <c r="F3279" s="77"/>
      <c r="G3279" s="77"/>
    </row>
    <row r="3280" spans="1:7" ht="12.75" x14ac:dyDescent="0.2">
      <c r="A3280" s="78"/>
      <c r="B3280" s="78"/>
      <c r="C3280" s="78"/>
      <c r="D3280" s="78"/>
      <c r="E3280" s="80">
        <f ca="1">IFERROR(__xludf.DUMMYFUNCTION("""COMPUTED_VALUE"""),0)</f>
        <v>0</v>
      </c>
      <c r="F3280" s="77"/>
      <c r="G3280" s="77"/>
    </row>
    <row r="3281" spans="1:7" ht="12.75" x14ac:dyDescent="0.2">
      <c r="A3281" s="78"/>
      <c r="B3281" s="78"/>
      <c r="C3281" s="78"/>
      <c r="D3281" s="78"/>
      <c r="E3281" s="80">
        <f ca="1">IFERROR(__xludf.DUMMYFUNCTION("""COMPUTED_VALUE"""),0)</f>
        <v>0</v>
      </c>
      <c r="F3281" s="77"/>
      <c r="G3281" s="77"/>
    </row>
    <row r="3282" spans="1:7" ht="12.75" x14ac:dyDescent="0.2">
      <c r="A3282" s="78"/>
      <c r="B3282" s="78"/>
      <c r="C3282" s="78"/>
      <c r="D3282" s="78"/>
      <c r="E3282" s="80">
        <f ca="1">IFERROR(__xludf.DUMMYFUNCTION("""COMPUTED_VALUE"""),0)</f>
        <v>0</v>
      </c>
      <c r="F3282" s="77"/>
      <c r="G3282" s="77"/>
    </row>
    <row r="3283" spans="1:7" ht="12.75" x14ac:dyDescent="0.2">
      <c r="A3283" s="78"/>
      <c r="B3283" s="78"/>
      <c r="C3283" s="78"/>
      <c r="D3283" s="78"/>
      <c r="E3283" s="80">
        <f ca="1">IFERROR(__xludf.DUMMYFUNCTION("""COMPUTED_VALUE"""),0)</f>
        <v>0</v>
      </c>
      <c r="F3283" s="77"/>
      <c r="G3283" s="77"/>
    </row>
    <row r="3284" spans="1:7" ht="12.75" x14ac:dyDescent="0.2">
      <c r="A3284" s="78"/>
      <c r="B3284" s="78"/>
      <c r="C3284" s="78"/>
      <c r="D3284" s="78"/>
      <c r="E3284" s="80">
        <f ca="1">IFERROR(__xludf.DUMMYFUNCTION("""COMPUTED_VALUE"""),0)</f>
        <v>0</v>
      </c>
      <c r="F3284" s="77"/>
      <c r="G3284" s="77"/>
    </row>
    <row r="3285" spans="1:7" ht="12.75" x14ac:dyDescent="0.2">
      <c r="A3285" s="78"/>
      <c r="B3285" s="78"/>
      <c r="C3285" s="78"/>
      <c r="D3285" s="78"/>
      <c r="E3285" s="80">
        <f ca="1">IFERROR(__xludf.DUMMYFUNCTION("""COMPUTED_VALUE"""),0)</f>
        <v>0</v>
      </c>
      <c r="F3285" s="77"/>
      <c r="G3285" s="77"/>
    </row>
    <row r="3286" spans="1:7" ht="12.75" x14ac:dyDescent="0.2">
      <c r="A3286" s="78"/>
      <c r="B3286" s="78"/>
      <c r="C3286" s="78"/>
      <c r="D3286" s="78"/>
      <c r="E3286" s="80">
        <f ca="1">IFERROR(__xludf.DUMMYFUNCTION("""COMPUTED_VALUE"""),0)</f>
        <v>0</v>
      </c>
      <c r="F3286" s="77"/>
      <c r="G3286" s="77"/>
    </row>
    <row r="3287" spans="1:7" ht="12.75" x14ac:dyDescent="0.2">
      <c r="A3287" s="78"/>
      <c r="B3287" s="78"/>
      <c r="C3287" s="78"/>
      <c r="D3287" s="78"/>
      <c r="E3287" s="80">
        <f ca="1">IFERROR(__xludf.DUMMYFUNCTION("""COMPUTED_VALUE"""),0)</f>
        <v>0</v>
      </c>
      <c r="F3287" s="77"/>
      <c r="G3287" s="77"/>
    </row>
    <row r="3288" spans="1:7" ht="12.75" x14ac:dyDescent="0.2">
      <c r="A3288" s="78"/>
      <c r="B3288" s="78"/>
      <c r="C3288" s="78"/>
      <c r="D3288" s="78"/>
      <c r="E3288" s="80">
        <f ca="1">IFERROR(__xludf.DUMMYFUNCTION("""COMPUTED_VALUE"""),0)</f>
        <v>0</v>
      </c>
      <c r="F3288" s="77"/>
      <c r="G3288" s="77"/>
    </row>
    <row r="3289" spans="1:7" ht="12.75" x14ac:dyDescent="0.2">
      <c r="A3289" s="78"/>
      <c r="B3289" s="78"/>
      <c r="C3289" s="78"/>
      <c r="D3289" s="78"/>
      <c r="E3289" s="80">
        <f ca="1">IFERROR(__xludf.DUMMYFUNCTION("""COMPUTED_VALUE"""),0)</f>
        <v>0</v>
      </c>
      <c r="F3289" s="77"/>
      <c r="G3289" s="77"/>
    </row>
    <row r="3290" spans="1:7" ht="12.75" x14ac:dyDescent="0.2">
      <c r="A3290" s="78"/>
      <c r="B3290" s="78"/>
      <c r="C3290" s="78"/>
      <c r="D3290" s="78"/>
      <c r="E3290" s="80">
        <f ca="1">IFERROR(__xludf.DUMMYFUNCTION("""COMPUTED_VALUE"""),0)</f>
        <v>0</v>
      </c>
      <c r="F3290" s="77"/>
      <c r="G3290" s="77"/>
    </row>
    <row r="3291" spans="1:7" ht="12.75" x14ac:dyDescent="0.2">
      <c r="A3291" s="78"/>
      <c r="B3291" s="78"/>
      <c r="C3291" s="78"/>
      <c r="D3291" s="78"/>
      <c r="E3291" s="80">
        <f ca="1">IFERROR(__xludf.DUMMYFUNCTION("""COMPUTED_VALUE"""),0)</f>
        <v>0</v>
      </c>
      <c r="F3291" s="77"/>
      <c r="G3291" s="77"/>
    </row>
    <row r="3292" spans="1:7" ht="12.75" x14ac:dyDescent="0.2">
      <c r="A3292" s="78"/>
      <c r="B3292" s="78"/>
      <c r="C3292" s="78"/>
      <c r="D3292" s="78"/>
      <c r="E3292" s="80">
        <f ca="1">IFERROR(__xludf.DUMMYFUNCTION("""COMPUTED_VALUE"""),0)</f>
        <v>0</v>
      </c>
      <c r="F3292" s="77"/>
      <c r="G3292" s="77"/>
    </row>
    <row r="3293" spans="1:7" ht="12.75" x14ac:dyDescent="0.2">
      <c r="A3293" s="78"/>
      <c r="B3293" s="78"/>
      <c r="C3293" s="78"/>
      <c r="D3293" s="78"/>
      <c r="E3293" s="80">
        <f ca="1">IFERROR(__xludf.DUMMYFUNCTION("""COMPUTED_VALUE"""),0)</f>
        <v>0</v>
      </c>
      <c r="F3293" s="77"/>
      <c r="G3293" s="77"/>
    </row>
    <row r="3294" spans="1:7" ht="12.75" x14ac:dyDescent="0.2">
      <c r="A3294" s="78"/>
      <c r="B3294" s="78"/>
      <c r="C3294" s="78"/>
      <c r="D3294" s="78"/>
      <c r="E3294" s="80">
        <f ca="1">IFERROR(__xludf.DUMMYFUNCTION("""COMPUTED_VALUE"""),0)</f>
        <v>0</v>
      </c>
      <c r="F3294" s="77"/>
      <c r="G3294" s="77"/>
    </row>
    <row r="3295" spans="1:7" ht="12.75" x14ac:dyDescent="0.2">
      <c r="A3295" s="78"/>
      <c r="B3295" s="78"/>
      <c r="C3295" s="78"/>
      <c r="D3295" s="78"/>
      <c r="E3295" s="80">
        <f ca="1">IFERROR(__xludf.DUMMYFUNCTION("""COMPUTED_VALUE"""),0)</f>
        <v>0</v>
      </c>
      <c r="F3295" s="77"/>
      <c r="G3295" s="77"/>
    </row>
    <row r="3296" spans="1:7" ht="12.75" x14ac:dyDescent="0.2">
      <c r="A3296" s="78"/>
      <c r="B3296" s="78"/>
      <c r="C3296" s="78"/>
      <c r="D3296" s="78"/>
      <c r="E3296" s="80">
        <f ca="1">IFERROR(__xludf.DUMMYFUNCTION("""COMPUTED_VALUE"""),0)</f>
        <v>0</v>
      </c>
      <c r="F3296" s="77"/>
      <c r="G3296" s="77"/>
    </row>
    <row r="3297" spans="1:7" ht="12.75" x14ac:dyDescent="0.2">
      <c r="A3297" s="78"/>
      <c r="B3297" s="78"/>
      <c r="C3297" s="78"/>
      <c r="D3297" s="78"/>
      <c r="E3297" s="80">
        <f ca="1">IFERROR(__xludf.DUMMYFUNCTION("""COMPUTED_VALUE"""),0)</f>
        <v>0</v>
      </c>
      <c r="F3297" s="77"/>
      <c r="G3297" s="77"/>
    </row>
    <row r="3298" spans="1:7" ht="12.75" x14ac:dyDescent="0.2">
      <c r="A3298" s="78"/>
      <c r="B3298" s="78"/>
      <c r="C3298" s="78"/>
      <c r="D3298" s="78"/>
      <c r="E3298" s="80">
        <f ca="1">IFERROR(__xludf.DUMMYFUNCTION("""COMPUTED_VALUE"""),0)</f>
        <v>0</v>
      </c>
      <c r="F3298" s="77"/>
      <c r="G3298" s="77"/>
    </row>
    <row r="3299" spans="1:7" ht="12.75" x14ac:dyDescent="0.2">
      <c r="A3299" s="78"/>
      <c r="B3299" s="78"/>
      <c r="C3299" s="78"/>
      <c r="D3299" s="78"/>
      <c r="E3299" s="80">
        <f ca="1">IFERROR(__xludf.DUMMYFUNCTION("""COMPUTED_VALUE"""),0)</f>
        <v>0</v>
      </c>
      <c r="F3299" s="77"/>
      <c r="G3299" s="77"/>
    </row>
    <row r="3300" spans="1:7" ht="12.75" x14ac:dyDescent="0.2">
      <c r="A3300" s="78"/>
      <c r="B3300" s="78"/>
      <c r="C3300" s="78"/>
      <c r="D3300" s="78"/>
      <c r="E3300" s="80">
        <f ca="1">IFERROR(__xludf.DUMMYFUNCTION("""COMPUTED_VALUE"""),0)</f>
        <v>0</v>
      </c>
      <c r="F3300" s="77"/>
      <c r="G3300" s="77"/>
    </row>
    <row r="3301" spans="1:7" ht="12.75" x14ac:dyDescent="0.2">
      <c r="A3301" s="78"/>
      <c r="B3301" s="78"/>
      <c r="C3301" s="78"/>
      <c r="D3301" s="78"/>
      <c r="E3301" s="80">
        <f ca="1">IFERROR(__xludf.DUMMYFUNCTION("""COMPUTED_VALUE"""),0)</f>
        <v>0</v>
      </c>
      <c r="F3301" s="77"/>
      <c r="G3301" s="77"/>
    </row>
    <row r="3302" spans="1:7" ht="12.75" x14ac:dyDescent="0.2">
      <c r="A3302" s="78"/>
      <c r="B3302" s="78"/>
      <c r="C3302" s="78"/>
      <c r="D3302" s="78"/>
      <c r="E3302" s="80">
        <f ca="1">IFERROR(__xludf.DUMMYFUNCTION("""COMPUTED_VALUE"""),0)</f>
        <v>0</v>
      </c>
      <c r="F3302" s="77"/>
      <c r="G3302" s="77"/>
    </row>
    <row r="3303" spans="1:7" ht="12.75" x14ac:dyDescent="0.2">
      <c r="A3303" s="78"/>
      <c r="B3303" s="78"/>
      <c r="C3303" s="78"/>
      <c r="D3303" s="78"/>
      <c r="E3303" s="80">
        <f ca="1">IFERROR(__xludf.DUMMYFUNCTION("""COMPUTED_VALUE"""),0)</f>
        <v>0</v>
      </c>
      <c r="F3303" s="77"/>
      <c r="G3303" s="77"/>
    </row>
    <row r="3304" spans="1:7" ht="12.75" x14ac:dyDescent="0.2">
      <c r="A3304" s="78"/>
      <c r="B3304" s="78"/>
      <c r="C3304" s="78"/>
      <c r="D3304" s="78"/>
      <c r="E3304" s="80">
        <f ca="1">IFERROR(__xludf.DUMMYFUNCTION("""COMPUTED_VALUE"""),0)</f>
        <v>0</v>
      </c>
      <c r="F3304" s="77"/>
      <c r="G3304" s="77"/>
    </row>
    <row r="3305" spans="1:7" ht="12.75" x14ac:dyDescent="0.2">
      <c r="A3305" s="78"/>
      <c r="B3305" s="78"/>
      <c r="C3305" s="78"/>
      <c r="D3305" s="78"/>
      <c r="E3305" s="80">
        <f ca="1">IFERROR(__xludf.DUMMYFUNCTION("""COMPUTED_VALUE"""),0)</f>
        <v>0</v>
      </c>
      <c r="F3305" s="77"/>
      <c r="G3305" s="77"/>
    </row>
    <row r="3306" spans="1:7" ht="12.75" x14ac:dyDescent="0.2">
      <c r="A3306" s="78"/>
      <c r="B3306" s="78"/>
      <c r="C3306" s="78"/>
      <c r="D3306" s="78"/>
      <c r="E3306" s="80">
        <f ca="1">IFERROR(__xludf.DUMMYFUNCTION("""COMPUTED_VALUE"""),0)</f>
        <v>0</v>
      </c>
      <c r="F3306" s="77"/>
      <c r="G3306" s="77"/>
    </row>
    <row r="3307" spans="1:7" ht="12.75" x14ac:dyDescent="0.2">
      <c r="A3307" s="78"/>
      <c r="B3307" s="78"/>
      <c r="C3307" s="78"/>
      <c r="D3307" s="78"/>
      <c r="E3307" s="80">
        <f ca="1">IFERROR(__xludf.DUMMYFUNCTION("""COMPUTED_VALUE"""),0)</f>
        <v>0</v>
      </c>
      <c r="F3307" s="77"/>
      <c r="G3307" s="77"/>
    </row>
    <row r="3308" spans="1:7" ht="12.75" x14ac:dyDescent="0.2">
      <c r="A3308" s="78"/>
      <c r="B3308" s="78"/>
      <c r="C3308" s="78"/>
      <c r="D3308" s="78"/>
      <c r="E3308" s="80">
        <f ca="1">IFERROR(__xludf.DUMMYFUNCTION("""COMPUTED_VALUE"""),0)</f>
        <v>0</v>
      </c>
      <c r="F3308" s="77"/>
      <c r="G3308" s="77"/>
    </row>
    <row r="3309" spans="1:7" ht="12.75" x14ac:dyDescent="0.2">
      <c r="A3309" s="78"/>
      <c r="B3309" s="78"/>
      <c r="C3309" s="78"/>
      <c r="D3309" s="78"/>
      <c r="E3309" s="80">
        <f ca="1">IFERROR(__xludf.DUMMYFUNCTION("""COMPUTED_VALUE"""),0)</f>
        <v>0</v>
      </c>
      <c r="F3309" s="77"/>
      <c r="G3309" s="77"/>
    </row>
    <row r="3310" spans="1:7" ht="12.75" x14ac:dyDescent="0.2">
      <c r="A3310" s="78"/>
      <c r="B3310" s="78"/>
      <c r="C3310" s="78"/>
      <c r="D3310" s="78"/>
      <c r="E3310" s="80">
        <f ca="1">IFERROR(__xludf.DUMMYFUNCTION("""COMPUTED_VALUE"""),0)</f>
        <v>0</v>
      </c>
      <c r="F3310" s="77"/>
      <c r="G3310" s="77"/>
    </row>
    <row r="3311" spans="1:7" ht="12.75" x14ac:dyDescent="0.2">
      <c r="A3311" s="78"/>
      <c r="B3311" s="78"/>
      <c r="C3311" s="78"/>
      <c r="D3311" s="78"/>
      <c r="E3311" s="80">
        <f ca="1">IFERROR(__xludf.DUMMYFUNCTION("""COMPUTED_VALUE"""),0)</f>
        <v>0</v>
      </c>
      <c r="F3311" s="77"/>
      <c r="G3311" s="77"/>
    </row>
    <row r="3312" spans="1:7" ht="12.75" x14ac:dyDescent="0.2">
      <c r="A3312" s="78"/>
      <c r="B3312" s="78"/>
      <c r="C3312" s="78"/>
      <c r="D3312" s="78"/>
      <c r="E3312" s="80">
        <f ca="1">IFERROR(__xludf.DUMMYFUNCTION("""COMPUTED_VALUE"""),0)</f>
        <v>0</v>
      </c>
      <c r="F3312" s="77"/>
      <c r="G3312" s="77"/>
    </row>
    <row r="3313" spans="1:7" ht="12.75" x14ac:dyDescent="0.2">
      <c r="A3313" s="78"/>
      <c r="B3313" s="78"/>
      <c r="C3313" s="78"/>
      <c r="D3313" s="78"/>
      <c r="E3313" s="80">
        <f ca="1">IFERROR(__xludf.DUMMYFUNCTION("""COMPUTED_VALUE"""),0)</f>
        <v>0</v>
      </c>
      <c r="F3313" s="77"/>
      <c r="G3313" s="77"/>
    </row>
    <row r="3314" spans="1:7" ht="12.75" x14ac:dyDescent="0.2">
      <c r="A3314" s="78"/>
      <c r="B3314" s="78"/>
      <c r="C3314" s="78"/>
      <c r="D3314" s="78"/>
      <c r="E3314" s="80">
        <f ca="1">IFERROR(__xludf.DUMMYFUNCTION("""COMPUTED_VALUE"""),0)</f>
        <v>0</v>
      </c>
      <c r="F3314" s="77"/>
      <c r="G3314" s="77"/>
    </row>
    <row r="3315" spans="1:7" ht="12.75" x14ac:dyDescent="0.2">
      <c r="A3315" s="78"/>
      <c r="B3315" s="78"/>
      <c r="C3315" s="78"/>
      <c r="D3315" s="78"/>
      <c r="E3315" s="80">
        <f ca="1">IFERROR(__xludf.DUMMYFUNCTION("""COMPUTED_VALUE"""),0)</f>
        <v>0</v>
      </c>
      <c r="F3315" s="77"/>
      <c r="G3315" s="77"/>
    </row>
    <row r="3316" spans="1:7" ht="12.75" x14ac:dyDescent="0.2">
      <c r="A3316" s="78"/>
      <c r="B3316" s="78"/>
      <c r="C3316" s="78"/>
      <c r="D3316" s="78"/>
      <c r="E3316" s="80">
        <f ca="1">IFERROR(__xludf.DUMMYFUNCTION("""COMPUTED_VALUE"""),0)</f>
        <v>0</v>
      </c>
      <c r="F3316" s="77"/>
      <c r="G3316" s="77"/>
    </row>
    <row r="3317" spans="1:7" ht="12.75" x14ac:dyDescent="0.2">
      <c r="A3317" s="78"/>
      <c r="B3317" s="78"/>
      <c r="C3317" s="78"/>
      <c r="D3317" s="78"/>
      <c r="E3317" s="80">
        <f ca="1">IFERROR(__xludf.DUMMYFUNCTION("""COMPUTED_VALUE"""),0)</f>
        <v>0</v>
      </c>
      <c r="F3317" s="77"/>
      <c r="G3317" s="77"/>
    </row>
    <row r="3318" spans="1:7" ht="12.75" x14ac:dyDescent="0.2">
      <c r="A3318" s="78"/>
      <c r="B3318" s="78"/>
      <c r="C3318" s="78"/>
      <c r="D3318" s="78"/>
      <c r="E3318" s="80">
        <f ca="1">IFERROR(__xludf.DUMMYFUNCTION("""COMPUTED_VALUE"""),0)</f>
        <v>0</v>
      </c>
      <c r="F3318" s="77"/>
      <c r="G3318" s="77"/>
    </row>
    <row r="3319" spans="1:7" ht="12.75" x14ac:dyDescent="0.2">
      <c r="A3319" s="78"/>
      <c r="B3319" s="78"/>
      <c r="C3319" s="78"/>
      <c r="D3319" s="78"/>
      <c r="E3319" s="80">
        <f ca="1">IFERROR(__xludf.DUMMYFUNCTION("""COMPUTED_VALUE"""),0)</f>
        <v>0</v>
      </c>
      <c r="F3319" s="77"/>
      <c r="G3319" s="77"/>
    </row>
    <row r="3320" spans="1:7" ht="12.75" x14ac:dyDescent="0.2">
      <c r="A3320" s="78"/>
      <c r="B3320" s="78"/>
      <c r="C3320" s="78"/>
      <c r="D3320" s="78"/>
      <c r="E3320" s="80">
        <f ca="1">IFERROR(__xludf.DUMMYFUNCTION("""COMPUTED_VALUE"""),0)</f>
        <v>0</v>
      </c>
      <c r="F3320" s="77"/>
      <c r="G3320" s="77"/>
    </row>
    <row r="3321" spans="1:7" ht="12.75" x14ac:dyDescent="0.2">
      <c r="A3321" s="78"/>
      <c r="B3321" s="78"/>
      <c r="C3321" s="78"/>
      <c r="D3321" s="78"/>
      <c r="E3321" s="80">
        <f ca="1">IFERROR(__xludf.DUMMYFUNCTION("""COMPUTED_VALUE"""),0)</f>
        <v>0</v>
      </c>
      <c r="F3321" s="77"/>
      <c r="G3321" s="77"/>
    </row>
    <row r="3322" spans="1:7" ht="12.75" x14ac:dyDescent="0.2">
      <c r="A3322" s="78"/>
      <c r="B3322" s="78"/>
      <c r="C3322" s="78"/>
      <c r="D3322" s="78"/>
      <c r="E3322" s="80">
        <f ca="1">IFERROR(__xludf.DUMMYFUNCTION("""COMPUTED_VALUE"""),0)</f>
        <v>0</v>
      </c>
      <c r="F3322" s="77"/>
      <c r="G3322" s="77"/>
    </row>
    <row r="3323" spans="1:7" ht="12.75" x14ac:dyDescent="0.2">
      <c r="A3323" s="78"/>
      <c r="B3323" s="78"/>
      <c r="C3323" s="78"/>
      <c r="D3323" s="78"/>
      <c r="E3323" s="80">
        <f ca="1">IFERROR(__xludf.DUMMYFUNCTION("""COMPUTED_VALUE"""),0)</f>
        <v>0</v>
      </c>
      <c r="F3323" s="77"/>
      <c r="G3323" s="77"/>
    </row>
    <row r="3324" spans="1:7" ht="12.75" x14ac:dyDescent="0.2">
      <c r="A3324" s="78"/>
      <c r="B3324" s="78"/>
      <c r="C3324" s="78"/>
      <c r="D3324" s="78"/>
      <c r="E3324" s="80">
        <f ca="1">IFERROR(__xludf.DUMMYFUNCTION("""COMPUTED_VALUE"""),0)</f>
        <v>0</v>
      </c>
      <c r="F3324" s="77"/>
      <c r="G3324" s="77"/>
    </row>
    <row r="3325" spans="1:7" ht="12.75" x14ac:dyDescent="0.2">
      <c r="A3325" s="78"/>
      <c r="B3325" s="78"/>
      <c r="C3325" s="78"/>
      <c r="D3325" s="78"/>
      <c r="E3325" s="80">
        <f ca="1">IFERROR(__xludf.DUMMYFUNCTION("""COMPUTED_VALUE"""),0)</f>
        <v>0</v>
      </c>
      <c r="F3325" s="77"/>
      <c r="G3325" s="77"/>
    </row>
    <row r="3326" spans="1:7" ht="12.75" x14ac:dyDescent="0.2">
      <c r="A3326" s="78"/>
      <c r="B3326" s="78"/>
      <c r="C3326" s="78"/>
      <c r="D3326" s="78"/>
      <c r="E3326" s="80">
        <f ca="1">IFERROR(__xludf.DUMMYFUNCTION("""COMPUTED_VALUE"""),0)</f>
        <v>0</v>
      </c>
      <c r="F3326" s="77"/>
      <c r="G3326" s="77"/>
    </row>
    <row r="3327" spans="1:7" ht="12.75" x14ac:dyDescent="0.2">
      <c r="A3327" s="78"/>
      <c r="B3327" s="78"/>
      <c r="C3327" s="78"/>
      <c r="D3327" s="78"/>
      <c r="E3327" s="80">
        <f ca="1">IFERROR(__xludf.DUMMYFUNCTION("""COMPUTED_VALUE"""),0)</f>
        <v>0</v>
      </c>
      <c r="F3327" s="77"/>
      <c r="G3327" s="77"/>
    </row>
    <row r="3328" spans="1:7" ht="12.75" x14ac:dyDescent="0.2">
      <c r="A3328" s="78"/>
      <c r="B3328" s="78"/>
      <c r="C3328" s="78"/>
      <c r="D3328" s="78"/>
      <c r="E3328" s="80">
        <f ca="1">IFERROR(__xludf.DUMMYFUNCTION("""COMPUTED_VALUE"""),0)</f>
        <v>0</v>
      </c>
      <c r="F3328" s="77"/>
      <c r="G3328" s="77"/>
    </row>
    <row r="3329" spans="1:7" ht="12.75" x14ac:dyDescent="0.2">
      <c r="A3329" s="78"/>
      <c r="B3329" s="78"/>
      <c r="C3329" s="78"/>
      <c r="D3329" s="78"/>
      <c r="E3329" s="80">
        <f ca="1">IFERROR(__xludf.DUMMYFUNCTION("""COMPUTED_VALUE"""),0)</f>
        <v>0</v>
      </c>
      <c r="F3329" s="77"/>
      <c r="G3329" s="77"/>
    </row>
    <row r="3330" spans="1:7" ht="12.75" x14ac:dyDescent="0.2">
      <c r="A3330" s="78"/>
      <c r="B3330" s="78"/>
      <c r="C3330" s="78"/>
      <c r="D3330" s="78"/>
      <c r="E3330" s="80">
        <f ca="1">IFERROR(__xludf.DUMMYFUNCTION("""COMPUTED_VALUE"""),0)</f>
        <v>0</v>
      </c>
      <c r="F3330" s="77"/>
      <c r="G3330" s="77"/>
    </row>
    <row r="3331" spans="1:7" ht="12.75" x14ac:dyDescent="0.2">
      <c r="A3331" s="78"/>
      <c r="B3331" s="78"/>
      <c r="C3331" s="78"/>
      <c r="D3331" s="78"/>
      <c r="E3331" s="80">
        <f ca="1">IFERROR(__xludf.DUMMYFUNCTION("""COMPUTED_VALUE"""),0)</f>
        <v>0</v>
      </c>
      <c r="F3331" s="77"/>
      <c r="G3331" s="77"/>
    </row>
    <row r="3332" spans="1:7" ht="12.75" x14ac:dyDescent="0.2">
      <c r="A3332" s="78"/>
      <c r="B3332" s="78"/>
      <c r="C3332" s="78"/>
      <c r="D3332" s="78"/>
      <c r="E3332" s="80">
        <f ca="1">IFERROR(__xludf.DUMMYFUNCTION("""COMPUTED_VALUE"""),0)</f>
        <v>0</v>
      </c>
      <c r="F3332" s="77"/>
      <c r="G3332" s="77"/>
    </row>
    <row r="3333" spans="1:7" ht="12.75" x14ac:dyDescent="0.2">
      <c r="A3333" s="78"/>
      <c r="B3333" s="78"/>
      <c r="C3333" s="78"/>
      <c r="D3333" s="78"/>
      <c r="E3333" s="80">
        <f ca="1">IFERROR(__xludf.DUMMYFUNCTION("""COMPUTED_VALUE"""),0)</f>
        <v>0</v>
      </c>
      <c r="F3333" s="77"/>
      <c r="G3333" s="77"/>
    </row>
    <row r="3334" spans="1:7" ht="12.75" x14ac:dyDescent="0.2">
      <c r="A3334" s="78"/>
      <c r="B3334" s="78"/>
      <c r="C3334" s="78"/>
      <c r="D3334" s="78"/>
      <c r="E3334" s="80">
        <f ca="1">IFERROR(__xludf.DUMMYFUNCTION("""COMPUTED_VALUE"""),0)</f>
        <v>0</v>
      </c>
      <c r="F3334" s="77"/>
      <c r="G3334" s="77"/>
    </row>
    <row r="3335" spans="1:7" ht="12.75" x14ac:dyDescent="0.2">
      <c r="A3335" s="78"/>
      <c r="B3335" s="78"/>
      <c r="C3335" s="78"/>
      <c r="D3335" s="78"/>
      <c r="E3335" s="80">
        <f ca="1">IFERROR(__xludf.DUMMYFUNCTION("""COMPUTED_VALUE"""),0)</f>
        <v>0</v>
      </c>
      <c r="F3335" s="77"/>
      <c r="G3335" s="77"/>
    </row>
    <row r="3336" spans="1:7" ht="12.75" x14ac:dyDescent="0.2">
      <c r="A3336" s="78"/>
      <c r="B3336" s="78"/>
      <c r="C3336" s="78"/>
      <c r="D3336" s="78"/>
      <c r="E3336" s="80">
        <f ca="1">IFERROR(__xludf.DUMMYFUNCTION("""COMPUTED_VALUE"""),0)</f>
        <v>0</v>
      </c>
      <c r="F3336" s="77"/>
      <c r="G3336" s="77"/>
    </row>
    <row r="3337" spans="1:7" ht="12.75" x14ac:dyDescent="0.2">
      <c r="A3337" s="78"/>
      <c r="B3337" s="78"/>
      <c r="C3337" s="78"/>
      <c r="D3337" s="78"/>
      <c r="E3337" s="80">
        <f ca="1">IFERROR(__xludf.DUMMYFUNCTION("""COMPUTED_VALUE"""),0)</f>
        <v>0</v>
      </c>
      <c r="F3337" s="77"/>
      <c r="G3337" s="77"/>
    </row>
    <row r="3338" spans="1:7" ht="12.75" x14ac:dyDescent="0.2">
      <c r="A3338" s="78"/>
      <c r="B3338" s="78"/>
      <c r="C3338" s="78"/>
      <c r="D3338" s="78"/>
      <c r="E3338" s="80">
        <f ca="1">IFERROR(__xludf.DUMMYFUNCTION("""COMPUTED_VALUE"""),0)</f>
        <v>0</v>
      </c>
      <c r="F3338" s="77"/>
      <c r="G3338" s="77"/>
    </row>
    <row r="3339" spans="1:7" ht="12.75" x14ac:dyDescent="0.2">
      <c r="A3339" s="78"/>
      <c r="B3339" s="78"/>
      <c r="C3339" s="78"/>
      <c r="D3339" s="78"/>
      <c r="E3339" s="80">
        <f ca="1">IFERROR(__xludf.DUMMYFUNCTION("""COMPUTED_VALUE"""),0)</f>
        <v>0</v>
      </c>
      <c r="F3339" s="77"/>
      <c r="G3339" s="77"/>
    </row>
    <row r="3340" spans="1:7" ht="12.75" x14ac:dyDescent="0.2">
      <c r="A3340" s="78"/>
      <c r="B3340" s="78"/>
      <c r="C3340" s="78"/>
      <c r="D3340" s="78"/>
      <c r="E3340" s="80">
        <f ca="1">IFERROR(__xludf.DUMMYFUNCTION("""COMPUTED_VALUE"""),0)</f>
        <v>0</v>
      </c>
      <c r="F3340" s="77"/>
      <c r="G3340" s="77"/>
    </row>
    <row r="3341" spans="1:7" ht="12.75" x14ac:dyDescent="0.2">
      <c r="A3341" s="78"/>
      <c r="B3341" s="78"/>
      <c r="C3341" s="78"/>
      <c r="D3341" s="78"/>
      <c r="E3341" s="80">
        <f ca="1">IFERROR(__xludf.DUMMYFUNCTION("""COMPUTED_VALUE"""),0)</f>
        <v>0</v>
      </c>
      <c r="F3341" s="77"/>
      <c r="G3341" s="77"/>
    </row>
    <row r="3342" spans="1:7" ht="12.75" x14ac:dyDescent="0.2">
      <c r="A3342" s="78"/>
      <c r="B3342" s="78"/>
      <c r="C3342" s="78"/>
      <c r="D3342" s="78"/>
      <c r="E3342" s="80">
        <f ca="1">IFERROR(__xludf.DUMMYFUNCTION("""COMPUTED_VALUE"""),0)</f>
        <v>0</v>
      </c>
      <c r="F3342" s="77"/>
      <c r="G3342" s="77"/>
    </row>
    <row r="3343" spans="1:7" ht="12.75" x14ac:dyDescent="0.2">
      <c r="A3343" s="78"/>
      <c r="B3343" s="78"/>
      <c r="C3343" s="78"/>
      <c r="D3343" s="78"/>
      <c r="E3343" s="80">
        <f ca="1">IFERROR(__xludf.DUMMYFUNCTION("""COMPUTED_VALUE"""),0)</f>
        <v>0</v>
      </c>
      <c r="F3343" s="77"/>
      <c r="G3343" s="77"/>
    </row>
    <row r="3344" spans="1:7" ht="12.75" x14ac:dyDescent="0.2">
      <c r="A3344" s="78"/>
      <c r="B3344" s="78"/>
      <c r="C3344" s="78"/>
      <c r="D3344" s="78"/>
      <c r="E3344" s="80">
        <f ca="1">IFERROR(__xludf.DUMMYFUNCTION("""COMPUTED_VALUE"""),0)</f>
        <v>0</v>
      </c>
      <c r="F3344" s="77"/>
      <c r="G3344" s="77"/>
    </row>
    <row r="3345" spans="1:7" ht="12.75" x14ac:dyDescent="0.2">
      <c r="A3345" s="78"/>
      <c r="B3345" s="78"/>
      <c r="C3345" s="78"/>
      <c r="D3345" s="78"/>
      <c r="E3345" s="80">
        <f ca="1">IFERROR(__xludf.DUMMYFUNCTION("""COMPUTED_VALUE"""),0)</f>
        <v>0</v>
      </c>
      <c r="F3345" s="77"/>
      <c r="G3345" s="77"/>
    </row>
    <row r="3346" spans="1:7" ht="12.75" x14ac:dyDescent="0.2">
      <c r="A3346" s="78"/>
      <c r="B3346" s="78"/>
      <c r="C3346" s="78"/>
      <c r="D3346" s="78"/>
      <c r="E3346" s="80">
        <f ca="1">IFERROR(__xludf.DUMMYFUNCTION("""COMPUTED_VALUE"""),0)</f>
        <v>0</v>
      </c>
      <c r="F3346" s="77"/>
      <c r="G3346" s="77"/>
    </row>
    <row r="3347" spans="1:7" ht="12.75" x14ac:dyDescent="0.2">
      <c r="A3347" s="78"/>
      <c r="B3347" s="78"/>
      <c r="C3347" s="78"/>
      <c r="D3347" s="78"/>
      <c r="E3347" s="80">
        <f ca="1">IFERROR(__xludf.DUMMYFUNCTION("""COMPUTED_VALUE"""),0)</f>
        <v>0</v>
      </c>
      <c r="F3347" s="77"/>
      <c r="G3347" s="77"/>
    </row>
    <row r="3348" spans="1:7" ht="12.75" x14ac:dyDescent="0.2">
      <c r="A3348" s="78"/>
      <c r="B3348" s="78"/>
      <c r="C3348" s="78"/>
      <c r="D3348" s="78"/>
      <c r="E3348" s="80">
        <f ca="1">IFERROR(__xludf.DUMMYFUNCTION("""COMPUTED_VALUE"""),0)</f>
        <v>0</v>
      </c>
      <c r="F3348" s="77"/>
      <c r="G3348" s="77"/>
    </row>
    <row r="3349" spans="1:7" ht="12.75" x14ac:dyDescent="0.2">
      <c r="A3349" s="78"/>
      <c r="B3349" s="78"/>
      <c r="C3349" s="78"/>
      <c r="D3349" s="78"/>
      <c r="E3349" s="80">
        <f ca="1">IFERROR(__xludf.DUMMYFUNCTION("""COMPUTED_VALUE"""),0)</f>
        <v>0</v>
      </c>
      <c r="F3349" s="77"/>
      <c r="G3349" s="77"/>
    </row>
    <row r="3350" spans="1:7" ht="12.75" x14ac:dyDescent="0.2">
      <c r="A3350" s="78"/>
      <c r="B3350" s="78"/>
      <c r="C3350" s="78"/>
      <c r="D3350" s="78"/>
      <c r="E3350" s="80">
        <f ca="1">IFERROR(__xludf.DUMMYFUNCTION("""COMPUTED_VALUE"""),0)</f>
        <v>0</v>
      </c>
      <c r="F3350" s="77"/>
      <c r="G3350" s="77"/>
    </row>
    <row r="3351" spans="1:7" ht="12.75" x14ac:dyDescent="0.2">
      <c r="A3351" s="78"/>
      <c r="B3351" s="78"/>
      <c r="C3351" s="78"/>
      <c r="D3351" s="78"/>
      <c r="E3351" s="80">
        <f ca="1">IFERROR(__xludf.DUMMYFUNCTION("""COMPUTED_VALUE"""),0)</f>
        <v>0</v>
      </c>
      <c r="F3351" s="77"/>
      <c r="G3351" s="77"/>
    </row>
    <row r="3352" spans="1:7" ht="12.75" x14ac:dyDescent="0.2">
      <c r="A3352" s="78"/>
      <c r="B3352" s="78"/>
      <c r="C3352" s="78"/>
      <c r="D3352" s="78"/>
      <c r="E3352" s="80">
        <f ca="1">IFERROR(__xludf.DUMMYFUNCTION("""COMPUTED_VALUE"""),0)</f>
        <v>0</v>
      </c>
      <c r="F3352" s="77"/>
      <c r="G3352" s="77"/>
    </row>
    <row r="3353" spans="1:7" ht="12.75" x14ac:dyDescent="0.2">
      <c r="A3353" s="78"/>
      <c r="B3353" s="78"/>
      <c r="C3353" s="78"/>
      <c r="D3353" s="78"/>
      <c r="E3353" s="80">
        <f ca="1">IFERROR(__xludf.DUMMYFUNCTION("""COMPUTED_VALUE"""),0)</f>
        <v>0</v>
      </c>
      <c r="F3353" s="77"/>
      <c r="G3353" s="77"/>
    </row>
    <row r="3354" spans="1:7" ht="12.75" x14ac:dyDescent="0.2">
      <c r="A3354" s="78"/>
      <c r="B3354" s="78"/>
      <c r="C3354" s="78"/>
      <c r="D3354" s="78"/>
      <c r="E3354" s="80">
        <f ca="1">IFERROR(__xludf.DUMMYFUNCTION("""COMPUTED_VALUE"""),0)</f>
        <v>0</v>
      </c>
      <c r="F3354" s="77"/>
      <c r="G3354" s="77"/>
    </row>
    <row r="3355" spans="1:7" ht="12.75" x14ac:dyDescent="0.2">
      <c r="A3355" s="78"/>
      <c r="B3355" s="78"/>
      <c r="C3355" s="78"/>
      <c r="D3355" s="78"/>
      <c r="E3355" s="80">
        <f ca="1">IFERROR(__xludf.DUMMYFUNCTION("""COMPUTED_VALUE"""),0)</f>
        <v>0</v>
      </c>
      <c r="F3355" s="77"/>
      <c r="G3355" s="77"/>
    </row>
    <row r="3356" spans="1:7" ht="12.75" x14ac:dyDescent="0.2">
      <c r="A3356" s="78"/>
      <c r="B3356" s="78"/>
      <c r="C3356" s="78"/>
      <c r="D3356" s="78"/>
      <c r="E3356" s="80">
        <f ca="1">IFERROR(__xludf.DUMMYFUNCTION("""COMPUTED_VALUE"""),0)</f>
        <v>0</v>
      </c>
      <c r="F3356" s="77"/>
      <c r="G3356" s="77"/>
    </row>
    <row r="3357" spans="1:7" ht="12.75" x14ac:dyDescent="0.2">
      <c r="A3357" s="78"/>
      <c r="B3357" s="78"/>
      <c r="C3357" s="78"/>
      <c r="D3357" s="78"/>
      <c r="E3357" s="80">
        <f ca="1">IFERROR(__xludf.DUMMYFUNCTION("""COMPUTED_VALUE"""),0)</f>
        <v>0</v>
      </c>
      <c r="F3357" s="77"/>
      <c r="G3357" s="77"/>
    </row>
    <row r="3358" spans="1:7" ht="12.75" x14ac:dyDescent="0.2">
      <c r="A3358" s="78"/>
      <c r="B3358" s="78"/>
      <c r="C3358" s="78"/>
      <c r="D3358" s="78"/>
      <c r="E3358" s="80">
        <f ca="1">IFERROR(__xludf.DUMMYFUNCTION("""COMPUTED_VALUE"""),0)</f>
        <v>0</v>
      </c>
      <c r="F3358" s="77"/>
      <c r="G3358" s="77"/>
    </row>
    <row r="3359" spans="1:7" ht="12.75" x14ac:dyDescent="0.2">
      <c r="A3359" s="78"/>
      <c r="B3359" s="78"/>
      <c r="C3359" s="78"/>
      <c r="D3359" s="78"/>
      <c r="E3359" s="80">
        <f ca="1">IFERROR(__xludf.DUMMYFUNCTION("""COMPUTED_VALUE"""),0)</f>
        <v>0</v>
      </c>
      <c r="F3359" s="77"/>
      <c r="G3359" s="77"/>
    </row>
    <row r="3360" spans="1:7" ht="12.75" x14ac:dyDescent="0.2">
      <c r="A3360" s="78"/>
      <c r="B3360" s="78"/>
      <c r="C3360" s="78"/>
      <c r="D3360" s="78"/>
      <c r="E3360" s="80">
        <f ca="1">IFERROR(__xludf.DUMMYFUNCTION("""COMPUTED_VALUE"""),0)</f>
        <v>0</v>
      </c>
      <c r="F3360" s="77"/>
      <c r="G3360" s="77"/>
    </row>
    <row r="3361" spans="1:7" ht="12.75" x14ac:dyDescent="0.2">
      <c r="A3361" s="78"/>
      <c r="B3361" s="78"/>
      <c r="C3361" s="78"/>
      <c r="D3361" s="78"/>
      <c r="E3361" s="80">
        <f ca="1">IFERROR(__xludf.DUMMYFUNCTION("""COMPUTED_VALUE"""),0)</f>
        <v>0</v>
      </c>
      <c r="F3361" s="77"/>
      <c r="G3361" s="77"/>
    </row>
    <row r="3362" spans="1:7" ht="12.75" x14ac:dyDescent="0.2">
      <c r="A3362" s="78"/>
      <c r="B3362" s="78"/>
      <c r="C3362" s="78"/>
      <c r="D3362" s="78"/>
      <c r="E3362" s="80">
        <f ca="1">IFERROR(__xludf.DUMMYFUNCTION("""COMPUTED_VALUE"""),0)</f>
        <v>0</v>
      </c>
      <c r="F3362" s="77"/>
      <c r="G3362" s="77"/>
    </row>
    <row r="3363" spans="1:7" ht="12.75" x14ac:dyDescent="0.2">
      <c r="A3363" s="78"/>
      <c r="B3363" s="78"/>
      <c r="C3363" s="78"/>
      <c r="D3363" s="78"/>
      <c r="E3363" s="80">
        <f ca="1">IFERROR(__xludf.DUMMYFUNCTION("""COMPUTED_VALUE"""),0)</f>
        <v>0</v>
      </c>
      <c r="F3363" s="77"/>
      <c r="G3363" s="77"/>
    </row>
    <row r="3364" spans="1:7" ht="12.75" x14ac:dyDescent="0.2">
      <c r="A3364" s="78"/>
      <c r="B3364" s="78"/>
      <c r="C3364" s="78"/>
      <c r="D3364" s="78"/>
      <c r="E3364" s="80">
        <f ca="1">IFERROR(__xludf.DUMMYFUNCTION("""COMPUTED_VALUE"""),0)</f>
        <v>0</v>
      </c>
      <c r="F3364" s="77"/>
      <c r="G3364" s="77"/>
    </row>
    <row r="3365" spans="1:7" ht="12.75" x14ac:dyDescent="0.2">
      <c r="A3365" s="78"/>
      <c r="B3365" s="78"/>
      <c r="C3365" s="78"/>
      <c r="D3365" s="78"/>
      <c r="E3365" s="80">
        <f ca="1">IFERROR(__xludf.DUMMYFUNCTION("""COMPUTED_VALUE"""),0)</f>
        <v>0</v>
      </c>
      <c r="F3365" s="77"/>
      <c r="G3365" s="77"/>
    </row>
    <row r="3366" spans="1:7" ht="12.75" x14ac:dyDescent="0.2">
      <c r="A3366" s="78"/>
      <c r="B3366" s="78"/>
      <c r="C3366" s="78"/>
      <c r="D3366" s="78"/>
      <c r="E3366" s="80">
        <f ca="1">IFERROR(__xludf.DUMMYFUNCTION("""COMPUTED_VALUE"""),0)</f>
        <v>0</v>
      </c>
      <c r="F3366" s="77"/>
      <c r="G3366" s="77"/>
    </row>
    <row r="3367" spans="1:7" ht="12.75" x14ac:dyDescent="0.2">
      <c r="A3367" s="78"/>
      <c r="B3367" s="78"/>
      <c r="C3367" s="78"/>
      <c r="D3367" s="78"/>
      <c r="E3367" s="80">
        <f ca="1">IFERROR(__xludf.DUMMYFUNCTION("""COMPUTED_VALUE"""),0)</f>
        <v>0</v>
      </c>
      <c r="F3367" s="77"/>
      <c r="G3367" s="77"/>
    </row>
    <row r="3368" spans="1:7" ht="12.75" x14ac:dyDescent="0.2">
      <c r="A3368" s="78"/>
      <c r="B3368" s="78"/>
      <c r="C3368" s="78"/>
      <c r="D3368" s="78"/>
      <c r="E3368" s="80">
        <f ca="1">IFERROR(__xludf.DUMMYFUNCTION("""COMPUTED_VALUE"""),0)</f>
        <v>0</v>
      </c>
      <c r="F3368" s="77"/>
      <c r="G3368" s="77"/>
    </row>
    <row r="3369" spans="1:7" ht="12.75" x14ac:dyDescent="0.2">
      <c r="A3369" s="78"/>
      <c r="B3369" s="78"/>
      <c r="C3369" s="78"/>
      <c r="D3369" s="78"/>
      <c r="E3369" s="80">
        <f ca="1">IFERROR(__xludf.DUMMYFUNCTION("""COMPUTED_VALUE"""),0)</f>
        <v>0</v>
      </c>
      <c r="F3369" s="77"/>
      <c r="G3369" s="77"/>
    </row>
    <row r="3370" spans="1:7" ht="12.75" x14ac:dyDescent="0.2">
      <c r="A3370" s="78"/>
      <c r="B3370" s="78"/>
      <c r="C3370" s="78"/>
      <c r="D3370" s="78"/>
      <c r="E3370" s="80">
        <f ca="1">IFERROR(__xludf.DUMMYFUNCTION("""COMPUTED_VALUE"""),0)</f>
        <v>0</v>
      </c>
      <c r="F3370" s="77"/>
      <c r="G3370" s="77"/>
    </row>
    <row r="3371" spans="1:7" ht="12.75" x14ac:dyDescent="0.2">
      <c r="A3371" s="78"/>
      <c r="B3371" s="78"/>
      <c r="C3371" s="78"/>
      <c r="D3371" s="78"/>
      <c r="E3371" s="80">
        <f ca="1">IFERROR(__xludf.DUMMYFUNCTION("""COMPUTED_VALUE"""),0)</f>
        <v>0</v>
      </c>
      <c r="F3371" s="77"/>
      <c r="G3371" s="77"/>
    </row>
    <row r="3372" spans="1:7" ht="12.75" x14ac:dyDescent="0.2">
      <c r="A3372" s="78"/>
      <c r="B3372" s="78"/>
      <c r="C3372" s="78"/>
      <c r="D3372" s="78"/>
      <c r="E3372" s="80">
        <f ca="1">IFERROR(__xludf.DUMMYFUNCTION("""COMPUTED_VALUE"""),0)</f>
        <v>0</v>
      </c>
      <c r="F3372" s="77"/>
      <c r="G3372" s="77"/>
    </row>
    <row r="3373" spans="1:7" ht="12.75" x14ac:dyDescent="0.2">
      <c r="A3373" s="78"/>
      <c r="B3373" s="78"/>
      <c r="C3373" s="78"/>
      <c r="D3373" s="78"/>
      <c r="E3373" s="80">
        <f ca="1">IFERROR(__xludf.DUMMYFUNCTION("""COMPUTED_VALUE"""),0)</f>
        <v>0</v>
      </c>
      <c r="F3373" s="77"/>
      <c r="G3373" s="77"/>
    </row>
    <row r="3374" spans="1:7" ht="12.75" x14ac:dyDescent="0.2">
      <c r="A3374" s="78"/>
      <c r="B3374" s="78"/>
      <c r="C3374" s="78"/>
      <c r="D3374" s="78"/>
      <c r="E3374" s="80">
        <f ca="1">IFERROR(__xludf.DUMMYFUNCTION("""COMPUTED_VALUE"""),0)</f>
        <v>0</v>
      </c>
      <c r="F3374" s="77"/>
      <c r="G3374" s="77"/>
    </row>
    <row r="3375" spans="1:7" ht="12.75" x14ac:dyDescent="0.2">
      <c r="A3375" s="78"/>
      <c r="B3375" s="78"/>
      <c r="C3375" s="78"/>
      <c r="D3375" s="78"/>
      <c r="E3375" s="80">
        <f ca="1">IFERROR(__xludf.DUMMYFUNCTION("""COMPUTED_VALUE"""),0)</f>
        <v>0</v>
      </c>
      <c r="F3375" s="77"/>
      <c r="G3375" s="77"/>
    </row>
    <row r="3376" spans="1:7" ht="12.75" x14ac:dyDescent="0.2">
      <c r="A3376" s="78"/>
      <c r="B3376" s="78"/>
      <c r="C3376" s="78"/>
      <c r="D3376" s="78"/>
      <c r="E3376" s="80">
        <f ca="1">IFERROR(__xludf.DUMMYFUNCTION("""COMPUTED_VALUE"""),0)</f>
        <v>0</v>
      </c>
      <c r="F3376" s="77"/>
      <c r="G3376" s="77"/>
    </row>
    <row r="3377" spans="1:7" ht="12.75" x14ac:dyDescent="0.2">
      <c r="A3377" s="78"/>
      <c r="B3377" s="78"/>
      <c r="C3377" s="78"/>
      <c r="D3377" s="78"/>
      <c r="E3377" s="80">
        <f ca="1">IFERROR(__xludf.DUMMYFUNCTION("""COMPUTED_VALUE"""),0)</f>
        <v>0</v>
      </c>
      <c r="F3377" s="77"/>
      <c r="G3377" s="77"/>
    </row>
    <row r="3378" spans="1:7" ht="12.75" x14ac:dyDescent="0.2">
      <c r="A3378" s="78"/>
      <c r="B3378" s="78"/>
      <c r="C3378" s="78"/>
      <c r="D3378" s="78"/>
      <c r="E3378" s="80">
        <f ca="1">IFERROR(__xludf.DUMMYFUNCTION("""COMPUTED_VALUE"""),0)</f>
        <v>0</v>
      </c>
      <c r="F3378" s="77"/>
      <c r="G3378" s="77"/>
    </row>
    <row r="3379" spans="1:7" ht="12.75" x14ac:dyDescent="0.2">
      <c r="A3379" s="78"/>
      <c r="B3379" s="78"/>
      <c r="C3379" s="78"/>
      <c r="D3379" s="78"/>
      <c r="E3379" s="80">
        <f ca="1">IFERROR(__xludf.DUMMYFUNCTION("""COMPUTED_VALUE"""),0)</f>
        <v>0</v>
      </c>
      <c r="F3379" s="77"/>
      <c r="G3379" s="77"/>
    </row>
    <row r="3380" spans="1:7" ht="12.75" x14ac:dyDescent="0.2">
      <c r="A3380" s="78"/>
      <c r="B3380" s="78"/>
      <c r="C3380" s="78"/>
      <c r="D3380" s="78"/>
      <c r="E3380" s="80">
        <f ca="1">IFERROR(__xludf.DUMMYFUNCTION("""COMPUTED_VALUE"""),0)</f>
        <v>0</v>
      </c>
      <c r="F3380" s="77"/>
      <c r="G3380" s="77"/>
    </row>
    <row r="3381" spans="1:7" ht="12.75" x14ac:dyDescent="0.2">
      <c r="A3381" s="78"/>
      <c r="B3381" s="78"/>
      <c r="C3381" s="78"/>
      <c r="D3381" s="78"/>
      <c r="E3381" s="80">
        <f ca="1">IFERROR(__xludf.DUMMYFUNCTION("""COMPUTED_VALUE"""),0)</f>
        <v>0</v>
      </c>
      <c r="F3381" s="77"/>
      <c r="G3381" s="77"/>
    </row>
    <row r="3382" spans="1:7" ht="12.75" x14ac:dyDescent="0.2">
      <c r="A3382" s="78"/>
      <c r="B3382" s="78"/>
      <c r="C3382" s="78"/>
      <c r="D3382" s="78"/>
      <c r="E3382" s="80">
        <f ca="1">IFERROR(__xludf.DUMMYFUNCTION("""COMPUTED_VALUE"""),0)</f>
        <v>0</v>
      </c>
      <c r="F3382" s="77"/>
      <c r="G3382" s="77"/>
    </row>
    <row r="3383" spans="1:7" ht="12.75" x14ac:dyDescent="0.2">
      <c r="A3383" s="78"/>
      <c r="B3383" s="78"/>
      <c r="C3383" s="78"/>
      <c r="D3383" s="78"/>
      <c r="E3383" s="80">
        <f ca="1">IFERROR(__xludf.DUMMYFUNCTION("""COMPUTED_VALUE"""),0)</f>
        <v>0</v>
      </c>
      <c r="F3383" s="77"/>
      <c r="G3383" s="77"/>
    </row>
    <row r="3384" spans="1:7" ht="12.75" x14ac:dyDescent="0.2">
      <c r="A3384" s="78"/>
      <c r="B3384" s="78"/>
      <c r="C3384" s="78"/>
      <c r="D3384" s="78"/>
      <c r="E3384" s="80">
        <f ca="1">IFERROR(__xludf.DUMMYFUNCTION("""COMPUTED_VALUE"""),0)</f>
        <v>0</v>
      </c>
      <c r="F3384" s="77"/>
      <c r="G3384" s="77"/>
    </row>
    <row r="3385" spans="1:7" ht="12.75" x14ac:dyDescent="0.2">
      <c r="A3385" s="78"/>
      <c r="B3385" s="78"/>
      <c r="C3385" s="78"/>
      <c r="D3385" s="78"/>
      <c r="E3385" s="80">
        <f ca="1">IFERROR(__xludf.DUMMYFUNCTION("""COMPUTED_VALUE"""),0)</f>
        <v>0</v>
      </c>
      <c r="F3385" s="77"/>
      <c r="G3385" s="77"/>
    </row>
    <row r="3386" spans="1:7" ht="12.75" x14ac:dyDescent="0.2">
      <c r="A3386" s="78"/>
      <c r="B3386" s="78"/>
      <c r="C3386" s="78"/>
      <c r="D3386" s="78"/>
      <c r="E3386" s="80">
        <f ca="1">IFERROR(__xludf.DUMMYFUNCTION("""COMPUTED_VALUE"""),0)</f>
        <v>0</v>
      </c>
      <c r="F3386" s="77"/>
      <c r="G3386" s="77"/>
    </row>
    <row r="3387" spans="1:7" ht="12.75" x14ac:dyDescent="0.2">
      <c r="A3387" s="78"/>
      <c r="B3387" s="78"/>
      <c r="C3387" s="78"/>
      <c r="D3387" s="78"/>
      <c r="E3387" s="80">
        <f ca="1">IFERROR(__xludf.DUMMYFUNCTION("""COMPUTED_VALUE"""),0)</f>
        <v>0</v>
      </c>
      <c r="F3387" s="77"/>
      <c r="G3387" s="77"/>
    </row>
    <row r="3388" spans="1:7" ht="12.75" x14ac:dyDescent="0.2">
      <c r="A3388" s="78"/>
      <c r="B3388" s="78"/>
      <c r="C3388" s="78"/>
      <c r="D3388" s="78"/>
      <c r="E3388" s="80">
        <f ca="1">IFERROR(__xludf.DUMMYFUNCTION("""COMPUTED_VALUE"""),0)</f>
        <v>0</v>
      </c>
      <c r="F3388" s="77"/>
      <c r="G3388" s="77"/>
    </row>
    <row r="3389" spans="1:7" ht="12.75" x14ac:dyDescent="0.2">
      <c r="A3389" s="78"/>
      <c r="B3389" s="78"/>
      <c r="C3389" s="78"/>
      <c r="D3389" s="78"/>
      <c r="E3389" s="80">
        <f ca="1">IFERROR(__xludf.DUMMYFUNCTION("""COMPUTED_VALUE"""),0)</f>
        <v>0</v>
      </c>
      <c r="F3389" s="77"/>
      <c r="G3389" s="77"/>
    </row>
    <row r="3390" spans="1:7" ht="12.75" x14ac:dyDescent="0.2">
      <c r="A3390" s="78"/>
      <c r="B3390" s="78"/>
      <c r="C3390" s="78"/>
      <c r="D3390" s="78"/>
      <c r="E3390" s="80">
        <f ca="1">IFERROR(__xludf.DUMMYFUNCTION("""COMPUTED_VALUE"""),0)</f>
        <v>0</v>
      </c>
      <c r="F3390" s="77"/>
      <c r="G3390" s="77"/>
    </row>
    <row r="3391" spans="1:7" ht="12.75" x14ac:dyDescent="0.2">
      <c r="A3391" s="78"/>
      <c r="B3391" s="78"/>
      <c r="C3391" s="78"/>
      <c r="D3391" s="78"/>
      <c r="E3391" s="80">
        <f ca="1">IFERROR(__xludf.DUMMYFUNCTION("""COMPUTED_VALUE"""),0)</f>
        <v>0</v>
      </c>
      <c r="F3391" s="77"/>
      <c r="G3391" s="77"/>
    </row>
    <row r="3392" spans="1:7" ht="12.75" x14ac:dyDescent="0.2">
      <c r="A3392" s="78"/>
      <c r="B3392" s="78"/>
      <c r="C3392" s="78"/>
      <c r="D3392" s="78"/>
      <c r="E3392" s="80">
        <f ca="1">IFERROR(__xludf.DUMMYFUNCTION("""COMPUTED_VALUE"""),0)</f>
        <v>0</v>
      </c>
      <c r="F3392" s="77"/>
      <c r="G3392" s="77"/>
    </row>
    <row r="3393" spans="1:7" ht="12.75" x14ac:dyDescent="0.2">
      <c r="A3393" s="78"/>
      <c r="B3393" s="78"/>
      <c r="C3393" s="78"/>
      <c r="D3393" s="78"/>
      <c r="E3393" s="80">
        <f ca="1">IFERROR(__xludf.DUMMYFUNCTION("""COMPUTED_VALUE"""),0)</f>
        <v>0</v>
      </c>
      <c r="F3393" s="77"/>
      <c r="G3393" s="77"/>
    </row>
    <row r="3394" spans="1:7" ht="12.75" x14ac:dyDescent="0.2">
      <c r="A3394" s="78"/>
      <c r="B3394" s="78"/>
      <c r="C3394" s="78"/>
      <c r="D3394" s="78"/>
      <c r="E3394" s="80">
        <f ca="1">IFERROR(__xludf.DUMMYFUNCTION("""COMPUTED_VALUE"""),0)</f>
        <v>0</v>
      </c>
      <c r="F3394" s="77"/>
      <c r="G3394" s="77"/>
    </row>
    <row r="3395" spans="1:7" ht="12.75" x14ac:dyDescent="0.2">
      <c r="A3395" s="78"/>
      <c r="B3395" s="78"/>
      <c r="C3395" s="78"/>
      <c r="D3395" s="78"/>
      <c r="E3395" s="80">
        <f ca="1">IFERROR(__xludf.DUMMYFUNCTION("""COMPUTED_VALUE"""),0)</f>
        <v>0</v>
      </c>
      <c r="F3395" s="77"/>
      <c r="G3395" s="77"/>
    </row>
    <row r="3396" spans="1:7" ht="12.75" x14ac:dyDescent="0.2">
      <c r="A3396" s="78"/>
      <c r="B3396" s="78"/>
      <c r="C3396" s="78"/>
      <c r="D3396" s="78"/>
      <c r="E3396" s="80">
        <f ca="1">IFERROR(__xludf.DUMMYFUNCTION("""COMPUTED_VALUE"""),0)</f>
        <v>0</v>
      </c>
      <c r="F3396" s="77"/>
      <c r="G3396" s="77"/>
    </row>
    <row r="3397" spans="1:7" ht="12.75" x14ac:dyDescent="0.2">
      <c r="A3397" s="78"/>
      <c r="B3397" s="78"/>
      <c r="C3397" s="78"/>
      <c r="D3397" s="78"/>
      <c r="E3397" s="80">
        <f ca="1">IFERROR(__xludf.DUMMYFUNCTION("""COMPUTED_VALUE"""),0)</f>
        <v>0</v>
      </c>
      <c r="F3397" s="77"/>
      <c r="G3397" s="77"/>
    </row>
    <row r="3398" spans="1:7" ht="12.75" x14ac:dyDescent="0.2">
      <c r="A3398" s="78"/>
      <c r="B3398" s="78"/>
      <c r="C3398" s="78"/>
      <c r="D3398" s="78"/>
      <c r="E3398" s="80">
        <f ca="1">IFERROR(__xludf.DUMMYFUNCTION("""COMPUTED_VALUE"""),0)</f>
        <v>0</v>
      </c>
      <c r="F3398" s="77"/>
      <c r="G3398" s="77"/>
    </row>
    <row r="3399" spans="1:7" ht="12.75" x14ac:dyDescent="0.2">
      <c r="A3399" s="78"/>
      <c r="B3399" s="78"/>
      <c r="C3399" s="78"/>
      <c r="D3399" s="78"/>
      <c r="E3399" s="80">
        <f ca="1">IFERROR(__xludf.DUMMYFUNCTION("""COMPUTED_VALUE"""),0)</f>
        <v>0</v>
      </c>
      <c r="F3399" s="77"/>
      <c r="G3399" s="77"/>
    </row>
    <row r="3400" spans="1:7" ht="12.75" x14ac:dyDescent="0.2">
      <c r="A3400" s="78"/>
      <c r="B3400" s="78"/>
      <c r="C3400" s="78"/>
      <c r="D3400" s="78"/>
      <c r="E3400" s="80">
        <f ca="1">IFERROR(__xludf.DUMMYFUNCTION("""COMPUTED_VALUE"""),0)</f>
        <v>0</v>
      </c>
      <c r="F3400" s="77"/>
      <c r="G3400" s="77"/>
    </row>
    <row r="3401" spans="1:7" ht="12.75" x14ac:dyDescent="0.2">
      <c r="A3401" s="78"/>
      <c r="B3401" s="78"/>
      <c r="C3401" s="78"/>
      <c r="D3401" s="78"/>
      <c r="E3401" s="80">
        <f ca="1">IFERROR(__xludf.DUMMYFUNCTION("""COMPUTED_VALUE"""),0)</f>
        <v>0</v>
      </c>
      <c r="F3401" s="77"/>
      <c r="G3401" s="77"/>
    </row>
    <row r="3402" spans="1:7" ht="12.75" x14ac:dyDescent="0.2">
      <c r="A3402" s="78"/>
      <c r="B3402" s="78"/>
      <c r="C3402" s="78"/>
      <c r="D3402" s="78"/>
      <c r="E3402" s="80">
        <f ca="1">IFERROR(__xludf.DUMMYFUNCTION("""COMPUTED_VALUE"""),0)</f>
        <v>0</v>
      </c>
      <c r="F3402" s="77"/>
      <c r="G3402" s="77"/>
    </row>
    <row r="3403" spans="1:7" ht="12.75" x14ac:dyDescent="0.2">
      <c r="A3403" s="78"/>
      <c r="B3403" s="78"/>
      <c r="C3403" s="78"/>
      <c r="D3403" s="78"/>
      <c r="E3403" s="80">
        <f ca="1">IFERROR(__xludf.DUMMYFUNCTION("""COMPUTED_VALUE"""),0)</f>
        <v>0</v>
      </c>
      <c r="F3403" s="77"/>
      <c r="G3403" s="77"/>
    </row>
    <row r="3404" spans="1:7" ht="12.75" x14ac:dyDescent="0.2">
      <c r="A3404" s="78"/>
      <c r="B3404" s="78"/>
      <c r="C3404" s="78"/>
      <c r="D3404" s="78"/>
      <c r="E3404" s="80">
        <f ca="1">IFERROR(__xludf.DUMMYFUNCTION("""COMPUTED_VALUE"""),0)</f>
        <v>0</v>
      </c>
      <c r="F3404" s="77"/>
      <c r="G3404" s="77"/>
    </row>
    <row r="3405" spans="1:7" ht="12.75" x14ac:dyDescent="0.2">
      <c r="A3405" s="78"/>
      <c r="B3405" s="78"/>
      <c r="C3405" s="78"/>
      <c r="D3405" s="78"/>
      <c r="E3405" s="80">
        <f ca="1">IFERROR(__xludf.DUMMYFUNCTION("""COMPUTED_VALUE"""),0)</f>
        <v>0</v>
      </c>
      <c r="F3405" s="77"/>
      <c r="G3405" s="77"/>
    </row>
    <row r="3406" spans="1:7" ht="12.75" x14ac:dyDescent="0.2">
      <c r="A3406" s="78"/>
      <c r="B3406" s="78"/>
      <c r="C3406" s="78"/>
      <c r="D3406" s="78"/>
      <c r="E3406" s="80">
        <f ca="1">IFERROR(__xludf.DUMMYFUNCTION("""COMPUTED_VALUE"""),0)</f>
        <v>0</v>
      </c>
      <c r="F3406" s="77"/>
      <c r="G3406" s="77"/>
    </row>
    <row r="3407" spans="1:7" ht="12.75" x14ac:dyDescent="0.2">
      <c r="A3407" s="78"/>
      <c r="B3407" s="78"/>
      <c r="C3407" s="78"/>
      <c r="D3407" s="78"/>
      <c r="E3407" s="80">
        <f ca="1">IFERROR(__xludf.DUMMYFUNCTION("""COMPUTED_VALUE"""),0)</f>
        <v>0</v>
      </c>
      <c r="F3407" s="77"/>
      <c r="G3407" s="77"/>
    </row>
    <row r="3408" spans="1:7" ht="12.75" x14ac:dyDescent="0.2">
      <c r="A3408" s="78"/>
      <c r="B3408" s="78"/>
      <c r="C3408" s="78"/>
      <c r="D3408" s="78"/>
      <c r="E3408" s="80">
        <f ca="1">IFERROR(__xludf.DUMMYFUNCTION("""COMPUTED_VALUE"""),0)</f>
        <v>0</v>
      </c>
      <c r="F3408" s="77"/>
      <c r="G3408" s="77"/>
    </row>
    <row r="3409" spans="1:7" ht="12.75" x14ac:dyDescent="0.2">
      <c r="A3409" s="78"/>
      <c r="B3409" s="78"/>
      <c r="C3409" s="78"/>
      <c r="D3409" s="78"/>
      <c r="E3409" s="80">
        <f ca="1">IFERROR(__xludf.DUMMYFUNCTION("""COMPUTED_VALUE"""),0)</f>
        <v>0</v>
      </c>
      <c r="F3409" s="77"/>
      <c r="G3409" s="77"/>
    </row>
    <row r="3410" spans="1:7" ht="12.75" x14ac:dyDescent="0.2">
      <c r="A3410" s="78"/>
      <c r="B3410" s="78"/>
      <c r="C3410" s="78"/>
      <c r="D3410" s="78"/>
      <c r="E3410" s="80">
        <f ca="1">IFERROR(__xludf.DUMMYFUNCTION("""COMPUTED_VALUE"""),0)</f>
        <v>0</v>
      </c>
      <c r="F3410" s="77"/>
      <c r="G3410" s="77"/>
    </row>
    <row r="3411" spans="1:7" ht="12.75" x14ac:dyDescent="0.2">
      <c r="A3411" s="78"/>
      <c r="B3411" s="78"/>
      <c r="C3411" s="78"/>
      <c r="D3411" s="78"/>
      <c r="E3411" s="80">
        <f ca="1">IFERROR(__xludf.DUMMYFUNCTION("""COMPUTED_VALUE"""),0)</f>
        <v>0</v>
      </c>
      <c r="F3411" s="77"/>
      <c r="G3411" s="77"/>
    </row>
    <row r="3412" spans="1:7" ht="12.75" x14ac:dyDescent="0.2">
      <c r="A3412" s="78"/>
      <c r="B3412" s="78"/>
      <c r="C3412" s="78"/>
      <c r="D3412" s="78"/>
      <c r="E3412" s="80">
        <f ca="1">IFERROR(__xludf.DUMMYFUNCTION("""COMPUTED_VALUE"""),0)</f>
        <v>0</v>
      </c>
      <c r="F3412" s="77"/>
      <c r="G3412" s="77"/>
    </row>
    <row r="3413" spans="1:7" ht="12.75" x14ac:dyDescent="0.2">
      <c r="A3413" s="78"/>
      <c r="B3413" s="78"/>
      <c r="C3413" s="78"/>
      <c r="D3413" s="78"/>
      <c r="E3413" s="80">
        <f ca="1">IFERROR(__xludf.DUMMYFUNCTION("""COMPUTED_VALUE"""),0)</f>
        <v>0</v>
      </c>
      <c r="F3413" s="77"/>
      <c r="G3413" s="77"/>
    </row>
    <row r="3414" spans="1:7" ht="12.75" x14ac:dyDescent="0.2">
      <c r="A3414" s="78"/>
      <c r="B3414" s="78"/>
      <c r="C3414" s="78"/>
      <c r="D3414" s="78"/>
      <c r="E3414" s="80">
        <f ca="1">IFERROR(__xludf.DUMMYFUNCTION("""COMPUTED_VALUE"""),0)</f>
        <v>0</v>
      </c>
      <c r="F3414" s="77"/>
      <c r="G3414" s="77"/>
    </row>
    <row r="3415" spans="1:7" ht="12.75" x14ac:dyDescent="0.2">
      <c r="A3415" s="78"/>
      <c r="B3415" s="78"/>
      <c r="C3415" s="78"/>
      <c r="D3415" s="78"/>
      <c r="E3415" s="80">
        <f ca="1">IFERROR(__xludf.DUMMYFUNCTION("""COMPUTED_VALUE"""),0)</f>
        <v>0</v>
      </c>
      <c r="F3415" s="77"/>
      <c r="G3415" s="77"/>
    </row>
    <row r="3416" spans="1:7" ht="12.75" x14ac:dyDescent="0.2">
      <c r="A3416" s="78"/>
      <c r="B3416" s="78"/>
      <c r="C3416" s="78"/>
      <c r="D3416" s="78"/>
      <c r="E3416" s="80">
        <f ca="1">IFERROR(__xludf.DUMMYFUNCTION("""COMPUTED_VALUE"""),0)</f>
        <v>0</v>
      </c>
      <c r="F3416" s="77"/>
      <c r="G3416" s="77"/>
    </row>
    <row r="3417" spans="1:7" ht="12.75" x14ac:dyDescent="0.2">
      <c r="A3417" s="78"/>
      <c r="B3417" s="78"/>
      <c r="C3417" s="78"/>
      <c r="D3417" s="78"/>
      <c r="E3417" s="80">
        <f ca="1">IFERROR(__xludf.DUMMYFUNCTION("""COMPUTED_VALUE"""),0)</f>
        <v>0</v>
      </c>
      <c r="F3417" s="77"/>
      <c r="G3417" s="77"/>
    </row>
    <row r="3418" spans="1:7" ht="12.75" x14ac:dyDescent="0.2">
      <c r="A3418" s="78"/>
      <c r="B3418" s="78"/>
      <c r="C3418" s="78"/>
      <c r="D3418" s="78"/>
      <c r="E3418" s="80">
        <f ca="1">IFERROR(__xludf.DUMMYFUNCTION("""COMPUTED_VALUE"""),0)</f>
        <v>0</v>
      </c>
      <c r="F3418" s="77"/>
      <c r="G3418" s="77"/>
    </row>
    <row r="3419" spans="1:7" ht="12.75" x14ac:dyDescent="0.2">
      <c r="A3419" s="78"/>
      <c r="B3419" s="78"/>
      <c r="C3419" s="78"/>
      <c r="D3419" s="78"/>
      <c r="E3419" s="80">
        <f ca="1">IFERROR(__xludf.DUMMYFUNCTION("""COMPUTED_VALUE"""),0)</f>
        <v>0</v>
      </c>
      <c r="F3419" s="77"/>
      <c r="G3419" s="77"/>
    </row>
    <row r="3420" spans="1:7" ht="12.75" x14ac:dyDescent="0.2">
      <c r="A3420" s="78"/>
      <c r="B3420" s="78"/>
      <c r="C3420" s="78"/>
      <c r="D3420" s="78"/>
      <c r="E3420" s="80">
        <f ca="1">IFERROR(__xludf.DUMMYFUNCTION("""COMPUTED_VALUE"""),0)</f>
        <v>0</v>
      </c>
      <c r="F3420" s="77"/>
      <c r="G3420" s="77"/>
    </row>
    <row r="3421" spans="1:7" ht="12.75" x14ac:dyDescent="0.2">
      <c r="A3421" s="78"/>
      <c r="B3421" s="78"/>
      <c r="C3421" s="78"/>
      <c r="D3421" s="78"/>
      <c r="E3421" s="80">
        <f ca="1">IFERROR(__xludf.DUMMYFUNCTION("""COMPUTED_VALUE"""),0)</f>
        <v>0</v>
      </c>
      <c r="F3421" s="77"/>
      <c r="G3421" s="77"/>
    </row>
    <row r="3422" spans="1:7" ht="12.75" x14ac:dyDescent="0.2">
      <c r="A3422" s="78"/>
      <c r="B3422" s="78"/>
      <c r="C3422" s="78"/>
      <c r="D3422" s="78"/>
      <c r="E3422" s="80">
        <f ca="1">IFERROR(__xludf.DUMMYFUNCTION("""COMPUTED_VALUE"""),0)</f>
        <v>0</v>
      </c>
      <c r="F3422" s="77"/>
      <c r="G3422" s="77"/>
    </row>
    <row r="3423" spans="1:7" ht="12.75" x14ac:dyDescent="0.2">
      <c r="A3423" s="78"/>
      <c r="B3423" s="78"/>
      <c r="C3423" s="78"/>
      <c r="D3423" s="78"/>
      <c r="E3423" s="80">
        <f ca="1">IFERROR(__xludf.DUMMYFUNCTION("""COMPUTED_VALUE"""),0)</f>
        <v>0</v>
      </c>
      <c r="F3423" s="77"/>
      <c r="G3423" s="77"/>
    </row>
    <row r="3424" spans="1:7" ht="12.75" x14ac:dyDescent="0.2">
      <c r="A3424" s="78"/>
      <c r="B3424" s="78"/>
      <c r="C3424" s="78"/>
      <c r="D3424" s="78"/>
      <c r="E3424" s="80">
        <f ca="1">IFERROR(__xludf.DUMMYFUNCTION("""COMPUTED_VALUE"""),0)</f>
        <v>0</v>
      </c>
      <c r="F3424" s="77"/>
      <c r="G3424" s="77"/>
    </row>
    <row r="3425" spans="1:7" ht="12.75" x14ac:dyDescent="0.2">
      <c r="A3425" s="78"/>
      <c r="B3425" s="78"/>
      <c r="C3425" s="78"/>
      <c r="D3425" s="78"/>
      <c r="E3425" s="80">
        <f ca="1">IFERROR(__xludf.DUMMYFUNCTION("""COMPUTED_VALUE"""),0)</f>
        <v>0</v>
      </c>
      <c r="F3425" s="77"/>
      <c r="G3425" s="77"/>
    </row>
    <row r="3426" spans="1:7" ht="12.75" x14ac:dyDescent="0.2">
      <c r="A3426" s="78"/>
      <c r="B3426" s="78"/>
      <c r="C3426" s="78"/>
      <c r="D3426" s="78"/>
      <c r="E3426" s="80">
        <f ca="1">IFERROR(__xludf.DUMMYFUNCTION("""COMPUTED_VALUE"""),0)</f>
        <v>0</v>
      </c>
      <c r="F3426" s="77"/>
      <c r="G3426" s="77"/>
    </row>
    <row r="3427" spans="1:7" ht="12.75" x14ac:dyDescent="0.2">
      <c r="A3427" s="78"/>
      <c r="B3427" s="78"/>
      <c r="C3427" s="78"/>
      <c r="D3427" s="78"/>
      <c r="E3427" s="80">
        <f ca="1">IFERROR(__xludf.DUMMYFUNCTION("""COMPUTED_VALUE"""),0)</f>
        <v>0</v>
      </c>
      <c r="F3427" s="77"/>
      <c r="G3427" s="77"/>
    </row>
    <row r="3428" spans="1:7" ht="12.75" x14ac:dyDescent="0.2">
      <c r="A3428" s="78"/>
      <c r="B3428" s="78"/>
      <c r="C3428" s="78"/>
      <c r="D3428" s="78"/>
      <c r="E3428" s="80">
        <f ca="1">IFERROR(__xludf.DUMMYFUNCTION("""COMPUTED_VALUE"""),0)</f>
        <v>0</v>
      </c>
      <c r="F3428" s="77"/>
      <c r="G3428" s="77"/>
    </row>
    <row r="3429" spans="1:7" ht="12.75" x14ac:dyDescent="0.2">
      <c r="A3429" s="78"/>
      <c r="B3429" s="78"/>
      <c r="C3429" s="78"/>
      <c r="D3429" s="78"/>
      <c r="E3429" s="80">
        <f ca="1">IFERROR(__xludf.DUMMYFUNCTION("""COMPUTED_VALUE"""),0)</f>
        <v>0</v>
      </c>
      <c r="F3429" s="77"/>
      <c r="G3429" s="77"/>
    </row>
    <row r="3430" spans="1:7" ht="12.75" x14ac:dyDescent="0.2">
      <c r="A3430" s="78"/>
      <c r="B3430" s="78"/>
      <c r="C3430" s="78"/>
      <c r="D3430" s="78"/>
      <c r="E3430" s="80">
        <f ca="1">IFERROR(__xludf.DUMMYFUNCTION("""COMPUTED_VALUE"""),0)</f>
        <v>0</v>
      </c>
      <c r="F3430" s="77"/>
      <c r="G3430" s="77"/>
    </row>
    <row r="3431" spans="1:7" ht="12.75" x14ac:dyDescent="0.2">
      <c r="A3431" s="78"/>
      <c r="B3431" s="78"/>
      <c r="C3431" s="78"/>
      <c r="D3431" s="78"/>
      <c r="E3431" s="80">
        <f ca="1">IFERROR(__xludf.DUMMYFUNCTION("""COMPUTED_VALUE"""),0)</f>
        <v>0</v>
      </c>
      <c r="F3431" s="77"/>
      <c r="G3431" s="77"/>
    </row>
    <row r="3432" spans="1:7" ht="12.75" x14ac:dyDescent="0.2">
      <c r="A3432" s="78"/>
      <c r="B3432" s="78"/>
      <c r="C3432" s="78"/>
      <c r="D3432" s="78"/>
      <c r="E3432" s="80">
        <f ca="1">IFERROR(__xludf.DUMMYFUNCTION("""COMPUTED_VALUE"""),0)</f>
        <v>0</v>
      </c>
      <c r="F3432" s="77"/>
      <c r="G3432" s="77"/>
    </row>
    <row r="3433" spans="1:7" ht="12.75" x14ac:dyDescent="0.2">
      <c r="A3433" s="78"/>
      <c r="B3433" s="78"/>
      <c r="C3433" s="78"/>
      <c r="D3433" s="78"/>
      <c r="E3433" s="80">
        <f ca="1">IFERROR(__xludf.DUMMYFUNCTION("""COMPUTED_VALUE"""),0)</f>
        <v>0</v>
      </c>
      <c r="F3433" s="77"/>
      <c r="G3433" s="77"/>
    </row>
    <row r="3434" spans="1:7" ht="12.75" x14ac:dyDescent="0.2">
      <c r="A3434" s="78"/>
      <c r="B3434" s="78"/>
      <c r="C3434" s="78"/>
      <c r="D3434" s="78"/>
      <c r="E3434" s="80">
        <f ca="1">IFERROR(__xludf.DUMMYFUNCTION("""COMPUTED_VALUE"""),0)</f>
        <v>0</v>
      </c>
      <c r="F3434" s="77"/>
      <c r="G3434" s="77"/>
    </row>
    <row r="3435" spans="1:7" ht="12.75" x14ac:dyDescent="0.2">
      <c r="A3435" s="78"/>
      <c r="B3435" s="78"/>
      <c r="C3435" s="78"/>
      <c r="D3435" s="78"/>
      <c r="E3435" s="80">
        <f ca="1">IFERROR(__xludf.DUMMYFUNCTION("""COMPUTED_VALUE"""),0)</f>
        <v>0</v>
      </c>
      <c r="F3435" s="77"/>
      <c r="G3435" s="77"/>
    </row>
    <row r="3436" spans="1:7" ht="12.75" x14ac:dyDescent="0.2">
      <c r="A3436" s="78"/>
      <c r="B3436" s="78"/>
      <c r="C3436" s="78"/>
      <c r="D3436" s="78"/>
      <c r="E3436" s="80">
        <f ca="1">IFERROR(__xludf.DUMMYFUNCTION("""COMPUTED_VALUE"""),0)</f>
        <v>0</v>
      </c>
      <c r="F3436" s="77"/>
      <c r="G3436" s="77"/>
    </row>
    <row r="3437" spans="1:7" ht="12.75" x14ac:dyDescent="0.2">
      <c r="A3437" s="78"/>
      <c r="B3437" s="78"/>
      <c r="C3437" s="78"/>
      <c r="D3437" s="78"/>
      <c r="E3437" s="80">
        <f ca="1">IFERROR(__xludf.DUMMYFUNCTION("""COMPUTED_VALUE"""),0)</f>
        <v>0</v>
      </c>
      <c r="F3437" s="77"/>
      <c r="G3437" s="77"/>
    </row>
    <row r="3438" spans="1:7" ht="12.75" x14ac:dyDescent="0.2">
      <c r="A3438" s="78"/>
      <c r="B3438" s="78"/>
      <c r="C3438" s="78"/>
      <c r="D3438" s="78"/>
      <c r="E3438" s="80">
        <f ca="1">IFERROR(__xludf.DUMMYFUNCTION("""COMPUTED_VALUE"""),0)</f>
        <v>0</v>
      </c>
      <c r="F3438" s="77"/>
      <c r="G3438" s="77"/>
    </row>
    <row r="3439" spans="1:7" ht="12.75" x14ac:dyDescent="0.2">
      <c r="A3439" s="78"/>
      <c r="B3439" s="78"/>
      <c r="C3439" s="78"/>
      <c r="D3439" s="78"/>
      <c r="E3439" s="80">
        <f ca="1">IFERROR(__xludf.DUMMYFUNCTION("""COMPUTED_VALUE"""),0)</f>
        <v>0</v>
      </c>
      <c r="F3439" s="77"/>
      <c r="G3439" s="77"/>
    </row>
    <row r="3440" spans="1:7" ht="12.75" x14ac:dyDescent="0.2">
      <c r="A3440" s="78"/>
      <c r="B3440" s="78"/>
      <c r="C3440" s="78"/>
      <c r="D3440" s="78"/>
      <c r="E3440" s="80">
        <f ca="1">IFERROR(__xludf.DUMMYFUNCTION("""COMPUTED_VALUE"""),0)</f>
        <v>0</v>
      </c>
      <c r="F3440" s="77"/>
      <c r="G3440" s="77"/>
    </row>
    <row r="3441" spans="1:7" ht="12.75" x14ac:dyDescent="0.2">
      <c r="A3441" s="78"/>
      <c r="B3441" s="78"/>
      <c r="C3441" s="78"/>
      <c r="D3441" s="78"/>
      <c r="E3441" s="80">
        <f ca="1">IFERROR(__xludf.DUMMYFUNCTION("""COMPUTED_VALUE"""),0)</f>
        <v>0</v>
      </c>
      <c r="F3441" s="77"/>
      <c r="G3441" s="77"/>
    </row>
    <row r="3442" spans="1:7" ht="12.75" x14ac:dyDescent="0.2">
      <c r="A3442" s="78"/>
      <c r="B3442" s="78"/>
      <c r="C3442" s="78"/>
      <c r="D3442" s="78"/>
      <c r="E3442" s="80">
        <f ca="1">IFERROR(__xludf.DUMMYFUNCTION("""COMPUTED_VALUE"""),0)</f>
        <v>0</v>
      </c>
      <c r="F3442" s="77"/>
      <c r="G3442" s="77"/>
    </row>
    <row r="3443" spans="1:7" ht="12.75" x14ac:dyDescent="0.2">
      <c r="A3443" s="78"/>
      <c r="B3443" s="78"/>
      <c r="C3443" s="78"/>
      <c r="D3443" s="78"/>
      <c r="E3443" s="80">
        <f ca="1">IFERROR(__xludf.DUMMYFUNCTION("""COMPUTED_VALUE"""),0)</f>
        <v>0</v>
      </c>
      <c r="F3443" s="77"/>
      <c r="G3443" s="77"/>
    </row>
    <row r="3444" spans="1:7" ht="12.75" x14ac:dyDescent="0.2">
      <c r="A3444" s="78"/>
      <c r="B3444" s="78"/>
      <c r="C3444" s="78"/>
      <c r="D3444" s="78"/>
      <c r="E3444" s="80">
        <f ca="1">IFERROR(__xludf.DUMMYFUNCTION("""COMPUTED_VALUE"""),0)</f>
        <v>0</v>
      </c>
      <c r="F3444" s="77"/>
      <c r="G3444" s="77"/>
    </row>
    <row r="3445" spans="1:7" ht="12.75" x14ac:dyDescent="0.2">
      <c r="A3445" s="78"/>
      <c r="B3445" s="78"/>
      <c r="C3445" s="78"/>
      <c r="D3445" s="78"/>
      <c r="E3445" s="80">
        <f ca="1">IFERROR(__xludf.DUMMYFUNCTION("""COMPUTED_VALUE"""),0)</f>
        <v>0</v>
      </c>
      <c r="F3445" s="77"/>
      <c r="G3445" s="77"/>
    </row>
    <row r="3446" spans="1:7" ht="12.75" x14ac:dyDescent="0.2">
      <c r="A3446" s="78"/>
      <c r="B3446" s="78"/>
      <c r="C3446" s="78"/>
      <c r="D3446" s="78"/>
      <c r="E3446" s="80">
        <f ca="1">IFERROR(__xludf.DUMMYFUNCTION("""COMPUTED_VALUE"""),0)</f>
        <v>0</v>
      </c>
      <c r="F3446" s="77"/>
      <c r="G3446" s="77"/>
    </row>
    <row r="3447" spans="1:7" ht="12.75" x14ac:dyDescent="0.2">
      <c r="A3447" s="78"/>
      <c r="B3447" s="78"/>
      <c r="C3447" s="78"/>
      <c r="D3447" s="78"/>
      <c r="E3447" s="80">
        <f ca="1">IFERROR(__xludf.DUMMYFUNCTION("""COMPUTED_VALUE"""),0)</f>
        <v>0</v>
      </c>
      <c r="F3447" s="77"/>
      <c r="G3447" s="77"/>
    </row>
    <row r="3448" spans="1:7" ht="12.75" x14ac:dyDescent="0.2">
      <c r="A3448" s="78"/>
      <c r="B3448" s="78"/>
      <c r="C3448" s="78"/>
      <c r="D3448" s="78"/>
      <c r="E3448" s="80">
        <f ca="1">IFERROR(__xludf.DUMMYFUNCTION("""COMPUTED_VALUE"""),0)</f>
        <v>0</v>
      </c>
      <c r="F3448" s="77"/>
      <c r="G3448" s="77"/>
    </row>
    <row r="3449" spans="1:7" ht="12.75" x14ac:dyDescent="0.2">
      <c r="A3449" s="78"/>
      <c r="B3449" s="78"/>
      <c r="C3449" s="78"/>
      <c r="D3449" s="78"/>
      <c r="E3449" s="80">
        <f ca="1">IFERROR(__xludf.DUMMYFUNCTION("""COMPUTED_VALUE"""),0)</f>
        <v>0</v>
      </c>
      <c r="F3449" s="77"/>
      <c r="G3449" s="77"/>
    </row>
    <row r="3450" spans="1:7" ht="12.75" x14ac:dyDescent="0.2">
      <c r="A3450" s="78"/>
      <c r="B3450" s="78"/>
      <c r="C3450" s="78"/>
      <c r="D3450" s="78"/>
      <c r="E3450" s="80">
        <f ca="1">IFERROR(__xludf.DUMMYFUNCTION("""COMPUTED_VALUE"""),0)</f>
        <v>0</v>
      </c>
      <c r="F3450" s="77"/>
      <c r="G3450" s="77"/>
    </row>
    <row r="3451" spans="1:7" ht="12.75" x14ac:dyDescent="0.2">
      <c r="A3451" s="78"/>
      <c r="B3451" s="78"/>
      <c r="C3451" s="78"/>
      <c r="D3451" s="78"/>
      <c r="E3451" s="80">
        <f ca="1">IFERROR(__xludf.DUMMYFUNCTION("""COMPUTED_VALUE"""),0)</f>
        <v>0</v>
      </c>
      <c r="F3451" s="77"/>
      <c r="G3451" s="77"/>
    </row>
    <row r="3452" spans="1:7" ht="12.75" x14ac:dyDescent="0.2">
      <c r="A3452" s="78"/>
      <c r="B3452" s="78"/>
      <c r="C3452" s="78"/>
      <c r="D3452" s="78"/>
      <c r="E3452" s="80">
        <f ca="1">IFERROR(__xludf.DUMMYFUNCTION("""COMPUTED_VALUE"""),0)</f>
        <v>0</v>
      </c>
      <c r="F3452" s="77"/>
      <c r="G3452" s="77"/>
    </row>
    <row r="3453" spans="1:7" ht="12.75" x14ac:dyDescent="0.2">
      <c r="A3453" s="78"/>
      <c r="B3453" s="78"/>
      <c r="C3453" s="78"/>
      <c r="D3453" s="78"/>
      <c r="E3453" s="80">
        <f ca="1">IFERROR(__xludf.DUMMYFUNCTION("""COMPUTED_VALUE"""),0)</f>
        <v>0</v>
      </c>
      <c r="F3453" s="77"/>
      <c r="G3453" s="77"/>
    </row>
    <row r="3454" spans="1:7" ht="12.75" x14ac:dyDescent="0.2">
      <c r="A3454" s="78"/>
      <c r="B3454" s="78"/>
      <c r="C3454" s="78"/>
      <c r="D3454" s="78"/>
      <c r="E3454" s="80">
        <f ca="1">IFERROR(__xludf.DUMMYFUNCTION("""COMPUTED_VALUE"""),0)</f>
        <v>0</v>
      </c>
      <c r="F3454" s="77"/>
      <c r="G3454" s="77"/>
    </row>
    <row r="3455" spans="1:7" ht="12.75" x14ac:dyDescent="0.2">
      <c r="A3455" s="78"/>
      <c r="B3455" s="78"/>
      <c r="C3455" s="78"/>
      <c r="D3455" s="78"/>
      <c r="E3455" s="80">
        <f ca="1">IFERROR(__xludf.DUMMYFUNCTION("""COMPUTED_VALUE"""),0)</f>
        <v>0</v>
      </c>
      <c r="F3455" s="77"/>
      <c r="G3455" s="77"/>
    </row>
    <row r="3456" spans="1:7" ht="12.75" x14ac:dyDescent="0.2">
      <c r="A3456" s="78"/>
      <c r="B3456" s="78"/>
      <c r="C3456" s="78"/>
      <c r="D3456" s="78"/>
      <c r="E3456" s="80">
        <f ca="1">IFERROR(__xludf.DUMMYFUNCTION("""COMPUTED_VALUE"""),0)</f>
        <v>0</v>
      </c>
      <c r="F3456" s="77"/>
      <c r="G3456" s="77"/>
    </row>
    <row r="3457" spans="1:7" ht="12.75" x14ac:dyDescent="0.2">
      <c r="A3457" s="78"/>
      <c r="B3457" s="78"/>
      <c r="C3457" s="78"/>
      <c r="D3457" s="78"/>
      <c r="E3457" s="80">
        <f ca="1">IFERROR(__xludf.DUMMYFUNCTION("""COMPUTED_VALUE"""),0)</f>
        <v>0</v>
      </c>
      <c r="F3457" s="77"/>
      <c r="G3457" s="77"/>
    </row>
    <row r="3458" spans="1:7" ht="12.75" x14ac:dyDescent="0.2">
      <c r="A3458" s="78"/>
      <c r="B3458" s="78"/>
      <c r="C3458" s="78"/>
      <c r="D3458" s="78"/>
      <c r="E3458" s="80">
        <f ca="1">IFERROR(__xludf.DUMMYFUNCTION("""COMPUTED_VALUE"""),0)</f>
        <v>0</v>
      </c>
      <c r="F3458" s="77"/>
      <c r="G3458" s="77"/>
    </row>
    <row r="3459" spans="1:7" ht="12.75" x14ac:dyDescent="0.2">
      <c r="A3459" s="78"/>
      <c r="B3459" s="78"/>
      <c r="C3459" s="78"/>
      <c r="D3459" s="78"/>
      <c r="E3459" s="80">
        <f ca="1">IFERROR(__xludf.DUMMYFUNCTION("""COMPUTED_VALUE"""),0)</f>
        <v>0</v>
      </c>
      <c r="F3459" s="77"/>
      <c r="G3459" s="77"/>
    </row>
    <row r="3460" spans="1:7" ht="12.75" x14ac:dyDescent="0.2">
      <c r="A3460" s="78"/>
      <c r="B3460" s="78"/>
      <c r="C3460" s="78"/>
      <c r="D3460" s="78"/>
      <c r="E3460" s="80">
        <f ca="1">IFERROR(__xludf.DUMMYFUNCTION("""COMPUTED_VALUE"""),0)</f>
        <v>0</v>
      </c>
      <c r="F3460" s="77"/>
      <c r="G3460" s="77"/>
    </row>
    <row r="3461" spans="1:7" ht="12.75" x14ac:dyDescent="0.2">
      <c r="A3461" s="78"/>
      <c r="B3461" s="78"/>
      <c r="C3461" s="78"/>
      <c r="D3461" s="78"/>
      <c r="E3461" s="80">
        <f ca="1">IFERROR(__xludf.DUMMYFUNCTION("""COMPUTED_VALUE"""),0)</f>
        <v>0</v>
      </c>
      <c r="F3461" s="77"/>
      <c r="G3461" s="77"/>
    </row>
    <row r="3462" spans="1:7" ht="12.75" x14ac:dyDescent="0.2">
      <c r="A3462" s="78"/>
      <c r="B3462" s="78"/>
      <c r="C3462" s="78"/>
      <c r="D3462" s="78"/>
      <c r="E3462" s="80">
        <f ca="1">IFERROR(__xludf.DUMMYFUNCTION("""COMPUTED_VALUE"""),0)</f>
        <v>0</v>
      </c>
      <c r="F3462" s="77"/>
      <c r="G3462" s="77"/>
    </row>
    <row r="3463" spans="1:7" ht="12.75" x14ac:dyDescent="0.2">
      <c r="A3463" s="78"/>
      <c r="B3463" s="78"/>
      <c r="C3463" s="78"/>
      <c r="D3463" s="78"/>
      <c r="E3463" s="80">
        <f ca="1">IFERROR(__xludf.DUMMYFUNCTION("""COMPUTED_VALUE"""),0)</f>
        <v>0</v>
      </c>
      <c r="F3463" s="77"/>
      <c r="G3463" s="77"/>
    </row>
    <row r="3464" spans="1:7" ht="12.75" x14ac:dyDescent="0.2">
      <c r="A3464" s="78"/>
      <c r="B3464" s="78"/>
      <c r="C3464" s="78"/>
      <c r="D3464" s="78"/>
      <c r="E3464" s="80">
        <f ca="1">IFERROR(__xludf.DUMMYFUNCTION("""COMPUTED_VALUE"""),0)</f>
        <v>0</v>
      </c>
      <c r="F3464" s="77"/>
      <c r="G3464" s="77"/>
    </row>
    <row r="3465" spans="1:7" ht="12.75" x14ac:dyDescent="0.2">
      <c r="A3465" s="78"/>
      <c r="B3465" s="78"/>
      <c r="C3465" s="78"/>
      <c r="D3465" s="78"/>
      <c r="E3465" s="80">
        <f ca="1">IFERROR(__xludf.DUMMYFUNCTION("""COMPUTED_VALUE"""),0)</f>
        <v>0</v>
      </c>
      <c r="F3465" s="77"/>
      <c r="G3465" s="77"/>
    </row>
    <row r="3466" spans="1:7" ht="12.75" x14ac:dyDescent="0.2">
      <c r="A3466" s="78"/>
      <c r="B3466" s="78"/>
      <c r="C3466" s="78"/>
      <c r="D3466" s="78"/>
      <c r="E3466" s="80">
        <f ca="1">IFERROR(__xludf.DUMMYFUNCTION("""COMPUTED_VALUE"""),0)</f>
        <v>0</v>
      </c>
      <c r="F3466" s="77"/>
      <c r="G3466" s="77"/>
    </row>
    <row r="3467" spans="1:7" ht="12.75" x14ac:dyDescent="0.2">
      <c r="A3467" s="78"/>
      <c r="B3467" s="78"/>
      <c r="C3467" s="78"/>
      <c r="D3467" s="78"/>
      <c r="E3467" s="80">
        <f ca="1">IFERROR(__xludf.DUMMYFUNCTION("""COMPUTED_VALUE"""),0)</f>
        <v>0</v>
      </c>
      <c r="F3467" s="77"/>
      <c r="G3467" s="77"/>
    </row>
    <row r="3468" spans="1:7" ht="12.75" x14ac:dyDescent="0.2">
      <c r="A3468" s="78"/>
      <c r="B3468" s="78"/>
      <c r="C3468" s="78"/>
      <c r="D3468" s="78"/>
      <c r="E3468" s="80">
        <f ca="1">IFERROR(__xludf.DUMMYFUNCTION("""COMPUTED_VALUE"""),0)</f>
        <v>0</v>
      </c>
      <c r="F3468" s="77"/>
      <c r="G3468" s="77"/>
    </row>
    <row r="3469" spans="1:7" ht="12.75" x14ac:dyDescent="0.2">
      <c r="A3469" s="78"/>
      <c r="B3469" s="78"/>
      <c r="C3469" s="78"/>
      <c r="D3469" s="78"/>
      <c r="E3469" s="80">
        <f ca="1">IFERROR(__xludf.DUMMYFUNCTION("""COMPUTED_VALUE"""),0)</f>
        <v>0</v>
      </c>
      <c r="F3469" s="77"/>
      <c r="G3469" s="77"/>
    </row>
    <row r="3470" spans="1:7" ht="12.75" x14ac:dyDescent="0.2">
      <c r="A3470" s="78"/>
      <c r="B3470" s="78"/>
      <c r="C3470" s="78"/>
      <c r="D3470" s="78"/>
      <c r="E3470" s="80">
        <f ca="1">IFERROR(__xludf.DUMMYFUNCTION("""COMPUTED_VALUE"""),0)</f>
        <v>0</v>
      </c>
      <c r="F3470" s="77"/>
      <c r="G3470" s="77"/>
    </row>
    <row r="3471" spans="1:7" ht="12.75" x14ac:dyDescent="0.2">
      <c r="A3471" s="78"/>
      <c r="B3471" s="78"/>
      <c r="C3471" s="78"/>
      <c r="D3471" s="78"/>
      <c r="E3471" s="80">
        <f ca="1">IFERROR(__xludf.DUMMYFUNCTION("""COMPUTED_VALUE"""),0)</f>
        <v>0</v>
      </c>
      <c r="F3471" s="77"/>
      <c r="G3471" s="77"/>
    </row>
    <row r="3472" spans="1:7" ht="12.75" x14ac:dyDescent="0.2">
      <c r="A3472" s="78"/>
      <c r="B3472" s="78"/>
      <c r="C3472" s="78"/>
      <c r="D3472" s="78"/>
      <c r="E3472" s="80">
        <f ca="1">IFERROR(__xludf.DUMMYFUNCTION("""COMPUTED_VALUE"""),0)</f>
        <v>0</v>
      </c>
      <c r="F3472" s="77"/>
      <c r="G3472" s="77"/>
    </row>
    <row r="3473" spans="1:7" ht="12.75" x14ac:dyDescent="0.2">
      <c r="A3473" s="78"/>
      <c r="B3473" s="78"/>
      <c r="C3473" s="78"/>
      <c r="D3473" s="78"/>
      <c r="E3473" s="80">
        <f ca="1">IFERROR(__xludf.DUMMYFUNCTION("""COMPUTED_VALUE"""),0)</f>
        <v>0</v>
      </c>
      <c r="F3473" s="77"/>
      <c r="G3473" s="77"/>
    </row>
    <row r="3474" spans="1:7" ht="12.75" x14ac:dyDescent="0.2">
      <c r="A3474" s="78"/>
      <c r="B3474" s="78"/>
      <c r="C3474" s="78"/>
      <c r="D3474" s="78"/>
      <c r="E3474" s="80">
        <f ca="1">IFERROR(__xludf.DUMMYFUNCTION("""COMPUTED_VALUE"""),0)</f>
        <v>0</v>
      </c>
      <c r="F3474" s="77"/>
      <c r="G3474" s="77"/>
    </row>
    <row r="3475" spans="1:7" ht="12.75" x14ac:dyDescent="0.2">
      <c r="A3475" s="78"/>
      <c r="B3475" s="78"/>
      <c r="C3475" s="78"/>
      <c r="D3475" s="78"/>
      <c r="E3475" s="80">
        <f ca="1">IFERROR(__xludf.DUMMYFUNCTION("""COMPUTED_VALUE"""),0)</f>
        <v>0</v>
      </c>
      <c r="F3475" s="77"/>
      <c r="G3475" s="77"/>
    </row>
    <row r="3476" spans="1:7" ht="12.75" x14ac:dyDescent="0.2">
      <c r="A3476" s="78"/>
      <c r="B3476" s="78"/>
      <c r="C3476" s="78"/>
      <c r="D3476" s="78"/>
      <c r="E3476" s="80">
        <f ca="1">IFERROR(__xludf.DUMMYFUNCTION("""COMPUTED_VALUE"""),0)</f>
        <v>0</v>
      </c>
      <c r="F3476" s="77"/>
      <c r="G3476" s="77"/>
    </row>
    <row r="3477" spans="1:7" ht="12.75" x14ac:dyDescent="0.2">
      <c r="A3477" s="78"/>
      <c r="B3477" s="78"/>
      <c r="C3477" s="78"/>
      <c r="D3477" s="78"/>
      <c r="E3477" s="80">
        <f ca="1">IFERROR(__xludf.DUMMYFUNCTION("""COMPUTED_VALUE"""),0)</f>
        <v>0</v>
      </c>
      <c r="F3477" s="77"/>
      <c r="G3477" s="77"/>
    </row>
    <row r="3478" spans="1:7" ht="12.75" x14ac:dyDescent="0.2">
      <c r="A3478" s="78"/>
      <c r="B3478" s="78"/>
      <c r="C3478" s="78"/>
      <c r="D3478" s="78"/>
      <c r="E3478" s="80">
        <f ca="1">IFERROR(__xludf.DUMMYFUNCTION("""COMPUTED_VALUE"""),0)</f>
        <v>0</v>
      </c>
      <c r="F3478" s="77"/>
      <c r="G3478" s="77"/>
    </row>
    <row r="3479" spans="1:7" ht="12.75" x14ac:dyDescent="0.2">
      <c r="A3479" s="78"/>
      <c r="B3479" s="78"/>
      <c r="C3479" s="78"/>
      <c r="D3479" s="78"/>
      <c r="E3479" s="80">
        <f ca="1">IFERROR(__xludf.DUMMYFUNCTION("""COMPUTED_VALUE"""),0)</f>
        <v>0</v>
      </c>
      <c r="F3479" s="77"/>
      <c r="G3479" s="77"/>
    </row>
    <row r="3480" spans="1:7" ht="12.75" x14ac:dyDescent="0.2">
      <c r="A3480" s="78"/>
      <c r="B3480" s="78"/>
      <c r="C3480" s="78"/>
      <c r="D3480" s="78"/>
      <c r="E3480" s="80">
        <f ca="1">IFERROR(__xludf.DUMMYFUNCTION("""COMPUTED_VALUE"""),0)</f>
        <v>0</v>
      </c>
      <c r="F3480" s="77"/>
      <c r="G3480" s="77"/>
    </row>
    <row r="3481" spans="1:7" ht="12.75" x14ac:dyDescent="0.2">
      <c r="A3481" s="78"/>
      <c r="B3481" s="78"/>
      <c r="C3481" s="78"/>
      <c r="D3481" s="78"/>
      <c r="E3481" s="80">
        <f ca="1">IFERROR(__xludf.DUMMYFUNCTION("""COMPUTED_VALUE"""),0)</f>
        <v>0</v>
      </c>
      <c r="F3481" s="77"/>
      <c r="G3481" s="77"/>
    </row>
    <row r="3482" spans="1:7" ht="12.75" x14ac:dyDescent="0.2">
      <c r="A3482" s="78"/>
      <c r="B3482" s="78"/>
      <c r="C3482" s="78"/>
      <c r="D3482" s="78"/>
      <c r="E3482" s="80">
        <f ca="1">IFERROR(__xludf.DUMMYFUNCTION("""COMPUTED_VALUE"""),0)</f>
        <v>0</v>
      </c>
      <c r="F3482" s="77"/>
      <c r="G3482" s="77"/>
    </row>
    <row r="3483" spans="1:7" ht="12.75" x14ac:dyDescent="0.2">
      <c r="A3483" s="78"/>
      <c r="B3483" s="78"/>
      <c r="C3483" s="78"/>
      <c r="D3483" s="78"/>
      <c r="E3483" s="80">
        <f ca="1">IFERROR(__xludf.DUMMYFUNCTION("""COMPUTED_VALUE"""),0)</f>
        <v>0</v>
      </c>
      <c r="F3483" s="77"/>
      <c r="G3483" s="77"/>
    </row>
    <row r="3484" spans="1:7" ht="12.75" x14ac:dyDescent="0.2">
      <c r="A3484" s="78"/>
      <c r="B3484" s="78"/>
      <c r="C3484" s="78"/>
      <c r="D3484" s="78"/>
      <c r="E3484" s="80">
        <f ca="1">IFERROR(__xludf.DUMMYFUNCTION("""COMPUTED_VALUE"""),0)</f>
        <v>0</v>
      </c>
      <c r="F3484" s="77"/>
      <c r="G3484" s="77"/>
    </row>
    <row r="3485" spans="1:7" ht="12.75" x14ac:dyDescent="0.2">
      <c r="A3485" s="78"/>
      <c r="B3485" s="78"/>
      <c r="C3485" s="78"/>
      <c r="D3485" s="78"/>
      <c r="E3485" s="80">
        <f ca="1">IFERROR(__xludf.DUMMYFUNCTION("""COMPUTED_VALUE"""),0)</f>
        <v>0</v>
      </c>
      <c r="F3485" s="77"/>
      <c r="G3485" s="77"/>
    </row>
    <row r="3486" spans="1:7" ht="12.75" x14ac:dyDescent="0.2">
      <c r="A3486" s="78"/>
      <c r="B3486" s="78"/>
      <c r="C3486" s="78"/>
      <c r="D3486" s="78"/>
      <c r="E3486" s="80">
        <f ca="1">IFERROR(__xludf.DUMMYFUNCTION("""COMPUTED_VALUE"""),0)</f>
        <v>0</v>
      </c>
      <c r="F3486" s="77"/>
      <c r="G3486" s="77"/>
    </row>
    <row r="3487" spans="1:7" ht="12.75" x14ac:dyDescent="0.2">
      <c r="A3487" s="78"/>
      <c r="B3487" s="78"/>
      <c r="C3487" s="78"/>
      <c r="D3487" s="78"/>
      <c r="E3487" s="80">
        <f ca="1">IFERROR(__xludf.DUMMYFUNCTION("""COMPUTED_VALUE"""),0)</f>
        <v>0</v>
      </c>
      <c r="F3487" s="77"/>
      <c r="G3487" s="77"/>
    </row>
    <row r="3488" spans="1:7" ht="12.75" x14ac:dyDescent="0.2">
      <c r="A3488" s="78"/>
      <c r="B3488" s="78"/>
      <c r="C3488" s="78"/>
      <c r="D3488" s="78"/>
      <c r="E3488" s="80">
        <f ca="1">IFERROR(__xludf.DUMMYFUNCTION("""COMPUTED_VALUE"""),0)</f>
        <v>0</v>
      </c>
      <c r="F3488" s="77"/>
      <c r="G3488" s="77"/>
    </row>
    <row r="3489" spans="1:7" ht="12.75" x14ac:dyDescent="0.2">
      <c r="A3489" s="78"/>
      <c r="B3489" s="78"/>
      <c r="C3489" s="78"/>
      <c r="D3489" s="78"/>
      <c r="E3489" s="80">
        <f ca="1">IFERROR(__xludf.DUMMYFUNCTION("""COMPUTED_VALUE"""),0)</f>
        <v>0</v>
      </c>
      <c r="F3489" s="77"/>
      <c r="G3489" s="77"/>
    </row>
    <row r="3490" spans="1:7" ht="12.75" x14ac:dyDescent="0.2">
      <c r="A3490" s="78"/>
      <c r="B3490" s="78"/>
      <c r="C3490" s="78"/>
      <c r="D3490" s="78"/>
      <c r="E3490" s="80">
        <f ca="1">IFERROR(__xludf.DUMMYFUNCTION("""COMPUTED_VALUE"""),0)</f>
        <v>0</v>
      </c>
      <c r="F3490" s="77"/>
      <c r="G3490" s="77"/>
    </row>
    <row r="3491" spans="1:7" ht="12.75" x14ac:dyDescent="0.2">
      <c r="A3491" s="78"/>
      <c r="B3491" s="78"/>
      <c r="C3491" s="78"/>
      <c r="D3491" s="78"/>
      <c r="E3491" s="80">
        <f ca="1">IFERROR(__xludf.DUMMYFUNCTION("""COMPUTED_VALUE"""),0)</f>
        <v>0</v>
      </c>
      <c r="F3491" s="77"/>
      <c r="G3491" s="77"/>
    </row>
    <row r="3492" spans="1:7" ht="12.75" x14ac:dyDescent="0.2">
      <c r="A3492" s="78"/>
      <c r="B3492" s="78"/>
      <c r="C3492" s="78"/>
      <c r="D3492" s="78"/>
      <c r="E3492" s="80">
        <f ca="1">IFERROR(__xludf.DUMMYFUNCTION("""COMPUTED_VALUE"""),0)</f>
        <v>0</v>
      </c>
      <c r="F3492" s="77"/>
      <c r="G3492" s="77"/>
    </row>
    <row r="3493" spans="1:7" ht="12.75" x14ac:dyDescent="0.2">
      <c r="A3493" s="78"/>
      <c r="B3493" s="78"/>
      <c r="C3493" s="78"/>
      <c r="D3493" s="78"/>
      <c r="E3493" s="80">
        <f ca="1">IFERROR(__xludf.DUMMYFUNCTION("""COMPUTED_VALUE"""),0)</f>
        <v>0</v>
      </c>
      <c r="F3493" s="77"/>
      <c r="G3493" s="77"/>
    </row>
    <row r="3494" spans="1:7" ht="12.75" x14ac:dyDescent="0.2">
      <c r="A3494" s="78"/>
      <c r="B3494" s="78"/>
      <c r="C3494" s="78"/>
      <c r="D3494" s="78"/>
      <c r="E3494" s="80">
        <f ca="1">IFERROR(__xludf.DUMMYFUNCTION("""COMPUTED_VALUE"""),0)</f>
        <v>0</v>
      </c>
      <c r="F3494" s="77"/>
      <c r="G3494" s="77"/>
    </row>
    <row r="3495" spans="1:7" ht="12.75" x14ac:dyDescent="0.2">
      <c r="A3495" s="78"/>
      <c r="B3495" s="78"/>
      <c r="C3495" s="78"/>
      <c r="D3495" s="78"/>
      <c r="E3495" s="80">
        <f ca="1">IFERROR(__xludf.DUMMYFUNCTION("""COMPUTED_VALUE"""),0)</f>
        <v>0</v>
      </c>
      <c r="F3495" s="77"/>
      <c r="G3495" s="77"/>
    </row>
    <row r="3496" spans="1:7" ht="12.75" x14ac:dyDescent="0.2">
      <c r="A3496" s="78"/>
      <c r="B3496" s="78"/>
      <c r="C3496" s="78"/>
      <c r="D3496" s="78"/>
      <c r="E3496" s="80">
        <f ca="1">IFERROR(__xludf.DUMMYFUNCTION("""COMPUTED_VALUE"""),0)</f>
        <v>0</v>
      </c>
      <c r="F3496" s="77"/>
      <c r="G3496" s="77"/>
    </row>
    <row r="3497" spans="1:7" ht="12.75" x14ac:dyDescent="0.2">
      <c r="A3497" s="78"/>
      <c r="B3497" s="78"/>
      <c r="C3497" s="78"/>
      <c r="D3497" s="78"/>
      <c r="E3497" s="80">
        <f ca="1">IFERROR(__xludf.DUMMYFUNCTION("""COMPUTED_VALUE"""),0)</f>
        <v>0</v>
      </c>
      <c r="F3497" s="77"/>
      <c r="G3497" s="77"/>
    </row>
    <row r="3498" spans="1:7" ht="12.75" x14ac:dyDescent="0.2">
      <c r="A3498" s="78"/>
      <c r="B3498" s="78"/>
      <c r="C3498" s="78"/>
      <c r="D3498" s="78"/>
      <c r="E3498" s="80">
        <f ca="1">IFERROR(__xludf.DUMMYFUNCTION("""COMPUTED_VALUE"""),0)</f>
        <v>0</v>
      </c>
      <c r="F3498" s="77"/>
      <c r="G3498" s="77"/>
    </row>
    <row r="3499" spans="1:7" ht="12.75" x14ac:dyDescent="0.2">
      <c r="A3499" s="78"/>
      <c r="B3499" s="78"/>
      <c r="C3499" s="78"/>
      <c r="D3499" s="78"/>
      <c r="E3499" s="80">
        <f ca="1">IFERROR(__xludf.DUMMYFUNCTION("""COMPUTED_VALUE"""),0)</f>
        <v>0</v>
      </c>
      <c r="F3499" s="77"/>
      <c r="G3499" s="77"/>
    </row>
    <row r="3500" spans="1:7" ht="12.75" x14ac:dyDescent="0.2">
      <c r="A3500" s="78"/>
      <c r="B3500" s="78"/>
      <c r="C3500" s="78"/>
      <c r="D3500" s="78"/>
      <c r="E3500" s="80">
        <f ca="1">IFERROR(__xludf.DUMMYFUNCTION("""COMPUTED_VALUE"""),0)</f>
        <v>0</v>
      </c>
      <c r="F3500" s="77"/>
      <c r="G3500" s="77"/>
    </row>
    <row r="3501" spans="1:7" ht="12.75" x14ac:dyDescent="0.2">
      <c r="A3501" s="78"/>
      <c r="B3501" s="78"/>
      <c r="C3501" s="78"/>
      <c r="D3501" s="78"/>
      <c r="E3501" s="80">
        <f ca="1">IFERROR(__xludf.DUMMYFUNCTION("""COMPUTED_VALUE"""),0)</f>
        <v>0</v>
      </c>
      <c r="F3501" s="77"/>
      <c r="G3501" s="77"/>
    </row>
    <row r="3502" spans="1:7" ht="12.75" x14ac:dyDescent="0.2">
      <c r="A3502" s="78"/>
      <c r="B3502" s="78"/>
      <c r="C3502" s="78"/>
      <c r="D3502" s="78"/>
      <c r="E3502" s="80">
        <f ca="1">IFERROR(__xludf.DUMMYFUNCTION("""COMPUTED_VALUE"""),0)</f>
        <v>0</v>
      </c>
      <c r="F3502" s="77"/>
      <c r="G3502" s="77"/>
    </row>
    <row r="3503" spans="1:7" ht="12.75" x14ac:dyDescent="0.2">
      <c r="A3503" s="78"/>
      <c r="B3503" s="78"/>
      <c r="C3503" s="78"/>
      <c r="D3503" s="78"/>
      <c r="E3503" s="80">
        <f ca="1">IFERROR(__xludf.DUMMYFUNCTION("""COMPUTED_VALUE"""),0)</f>
        <v>0</v>
      </c>
      <c r="F3503" s="77"/>
      <c r="G3503" s="77"/>
    </row>
    <row r="3504" spans="1:7" ht="12.75" x14ac:dyDescent="0.2">
      <c r="A3504" s="78"/>
      <c r="B3504" s="78"/>
      <c r="C3504" s="78"/>
      <c r="D3504" s="78"/>
      <c r="E3504" s="80">
        <f ca="1">IFERROR(__xludf.DUMMYFUNCTION("""COMPUTED_VALUE"""),0)</f>
        <v>0</v>
      </c>
      <c r="F3504" s="77"/>
      <c r="G3504" s="77"/>
    </row>
    <row r="3505" spans="1:7" ht="12.75" x14ac:dyDescent="0.2">
      <c r="A3505" s="78"/>
      <c r="B3505" s="78"/>
      <c r="C3505" s="78"/>
      <c r="D3505" s="78"/>
      <c r="E3505" s="80">
        <f ca="1">IFERROR(__xludf.DUMMYFUNCTION("""COMPUTED_VALUE"""),0)</f>
        <v>0</v>
      </c>
      <c r="F3505" s="77"/>
      <c r="G3505" s="77"/>
    </row>
    <row r="3506" spans="1:7" ht="12.75" x14ac:dyDescent="0.2">
      <c r="A3506" s="78"/>
      <c r="B3506" s="78"/>
      <c r="C3506" s="78"/>
      <c r="D3506" s="78"/>
      <c r="E3506" s="80">
        <f ca="1">IFERROR(__xludf.DUMMYFUNCTION("""COMPUTED_VALUE"""),0)</f>
        <v>0</v>
      </c>
      <c r="F3506" s="77"/>
      <c r="G3506" s="77"/>
    </row>
    <row r="3507" spans="1:7" ht="12.75" x14ac:dyDescent="0.2">
      <c r="A3507" s="78"/>
      <c r="B3507" s="78"/>
      <c r="C3507" s="78"/>
      <c r="D3507" s="78"/>
      <c r="E3507" s="80">
        <f ca="1">IFERROR(__xludf.DUMMYFUNCTION("""COMPUTED_VALUE"""),0)</f>
        <v>0</v>
      </c>
      <c r="F3507" s="77"/>
      <c r="G3507" s="77"/>
    </row>
    <row r="3508" spans="1:7" ht="12.75" x14ac:dyDescent="0.2">
      <c r="A3508" s="78"/>
      <c r="B3508" s="78"/>
      <c r="C3508" s="78"/>
      <c r="D3508" s="78"/>
      <c r="E3508" s="80">
        <f ca="1">IFERROR(__xludf.DUMMYFUNCTION("""COMPUTED_VALUE"""),0)</f>
        <v>0</v>
      </c>
      <c r="F3508" s="77"/>
      <c r="G3508" s="77"/>
    </row>
    <row r="3509" spans="1:7" ht="12.75" x14ac:dyDescent="0.2">
      <c r="A3509" s="78"/>
      <c r="B3509" s="78"/>
      <c r="C3509" s="78"/>
      <c r="D3509" s="78"/>
      <c r="E3509" s="80">
        <f ca="1">IFERROR(__xludf.DUMMYFUNCTION("""COMPUTED_VALUE"""),0)</f>
        <v>0</v>
      </c>
      <c r="F3509" s="77"/>
      <c r="G3509" s="77"/>
    </row>
    <row r="3510" spans="1:7" ht="12.75" x14ac:dyDescent="0.2">
      <c r="A3510" s="78"/>
      <c r="B3510" s="78"/>
      <c r="C3510" s="78"/>
      <c r="D3510" s="78"/>
      <c r="E3510" s="80">
        <f ca="1">IFERROR(__xludf.DUMMYFUNCTION("""COMPUTED_VALUE"""),0)</f>
        <v>0</v>
      </c>
      <c r="F3510" s="77"/>
      <c r="G3510" s="77"/>
    </row>
    <row r="3511" spans="1:7" ht="12.75" x14ac:dyDescent="0.2">
      <c r="A3511" s="78"/>
      <c r="B3511" s="78"/>
      <c r="C3511" s="78"/>
      <c r="D3511" s="78"/>
      <c r="E3511" s="80">
        <f ca="1">IFERROR(__xludf.DUMMYFUNCTION("""COMPUTED_VALUE"""),0)</f>
        <v>0</v>
      </c>
      <c r="F3511" s="77"/>
      <c r="G3511" s="77"/>
    </row>
    <row r="3512" spans="1:7" ht="12.75" x14ac:dyDescent="0.2">
      <c r="A3512" s="78"/>
      <c r="B3512" s="78"/>
      <c r="C3512" s="78"/>
      <c r="D3512" s="78"/>
      <c r="E3512" s="80">
        <f ca="1">IFERROR(__xludf.DUMMYFUNCTION("""COMPUTED_VALUE"""),0)</f>
        <v>0</v>
      </c>
      <c r="F3512" s="77"/>
      <c r="G3512" s="77"/>
    </row>
    <row r="3513" spans="1:7" ht="12.75" x14ac:dyDescent="0.2">
      <c r="A3513" s="78"/>
      <c r="B3513" s="78"/>
      <c r="C3513" s="78"/>
      <c r="D3513" s="78"/>
      <c r="E3513" s="80">
        <f ca="1">IFERROR(__xludf.DUMMYFUNCTION("""COMPUTED_VALUE"""),0)</f>
        <v>0</v>
      </c>
      <c r="F3513" s="77"/>
      <c r="G3513" s="77"/>
    </row>
    <row r="3514" spans="1:7" ht="12.75" x14ac:dyDescent="0.2">
      <c r="A3514" s="78"/>
      <c r="B3514" s="78"/>
      <c r="C3514" s="78"/>
      <c r="D3514" s="78"/>
      <c r="E3514" s="80">
        <f ca="1">IFERROR(__xludf.DUMMYFUNCTION("""COMPUTED_VALUE"""),0)</f>
        <v>0</v>
      </c>
      <c r="F3514" s="77"/>
      <c r="G3514" s="77"/>
    </row>
    <row r="3515" spans="1:7" ht="12.75" x14ac:dyDescent="0.2">
      <c r="A3515" s="78"/>
      <c r="B3515" s="78"/>
      <c r="C3515" s="78"/>
      <c r="D3515" s="78"/>
      <c r="E3515" s="80">
        <f ca="1">IFERROR(__xludf.DUMMYFUNCTION("""COMPUTED_VALUE"""),0)</f>
        <v>0</v>
      </c>
      <c r="F3515" s="77"/>
      <c r="G3515" s="77"/>
    </row>
    <row r="3516" spans="1:7" ht="12.75" x14ac:dyDescent="0.2">
      <c r="A3516" s="78"/>
      <c r="B3516" s="78"/>
      <c r="C3516" s="78"/>
      <c r="D3516" s="78"/>
      <c r="E3516" s="80">
        <f ca="1">IFERROR(__xludf.DUMMYFUNCTION("""COMPUTED_VALUE"""),0)</f>
        <v>0</v>
      </c>
      <c r="F3516" s="77"/>
      <c r="G3516" s="77"/>
    </row>
    <row r="3517" spans="1:7" ht="12.75" x14ac:dyDescent="0.2">
      <c r="A3517" s="78"/>
      <c r="B3517" s="78"/>
      <c r="C3517" s="78"/>
      <c r="D3517" s="78"/>
      <c r="E3517" s="80">
        <f ca="1">IFERROR(__xludf.DUMMYFUNCTION("""COMPUTED_VALUE"""),0)</f>
        <v>0</v>
      </c>
      <c r="F3517" s="77"/>
      <c r="G3517" s="77"/>
    </row>
    <row r="3518" spans="1:7" ht="12.75" x14ac:dyDescent="0.2">
      <c r="A3518" s="78"/>
      <c r="B3518" s="78"/>
      <c r="C3518" s="78"/>
      <c r="D3518" s="78"/>
      <c r="E3518" s="80">
        <f ca="1">IFERROR(__xludf.DUMMYFUNCTION("""COMPUTED_VALUE"""),0)</f>
        <v>0</v>
      </c>
      <c r="F3518" s="77"/>
      <c r="G3518" s="77"/>
    </row>
    <row r="3519" spans="1:7" ht="12.75" x14ac:dyDescent="0.2">
      <c r="A3519" s="78"/>
      <c r="B3519" s="78"/>
      <c r="C3519" s="78"/>
      <c r="D3519" s="78"/>
      <c r="E3519" s="80">
        <f ca="1">IFERROR(__xludf.DUMMYFUNCTION("""COMPUTED_VALUE"""),0)</f>
        <v>0</v>
      </c>
      <c r="F3519" s="77"/>
      <c r="G3519" s="77"/>
    </row>
    <row r="3520" spans="1:7" ht="12.75" x14ac:dyDescent="0.2">
      <c r="A3520" s="78"/>
      <c r="B3520" s="78"/>
      <c r="C3520" s="78"/>
      <c r="D3520" s="78"/>
      <c r="E3520" s="80">
        <f ca="1">IFERROR(__xludf.DUMMYFUNCTION("""COMPUTED_VALUE"""),0)</f>
        <v>0</v>
      </c>
      <c r="F3520" s="77"/>
      <c r="G3520" s="77"/>
    </row>
    <row r="3521" spans="1:7" ht="12.75" x14ac:dyDescent="0.2">
      <c r="A3521" s="78"/>
      <c r="B3521" s="78"/>
      <c r="C3521" s="78"/>
      <c r="D3521" s="78"/>
      <c r="E3521" s="80">
        <f ca="1">IFERROR(__xludf.DUMMYFUNCTION("""COMPUTED_VALUE"""),0)</f>
        <v>0</v>
      </c>
      <c r="F3521" s="77"/>
      <c r="G3521" s="77"/>
    </row>
    <row r="3522" spans="1:7" ht="12.75" x14ac:dyDescent="0.2">
      <c r="A3522" s="78"/>
      <c r="B3522" s="78"/>
      <c r="C3522" s="78"/>
      <c r="D3522" s="78"/>
      <c r="E3522" s="80">
        <f ca="1">IFERROR(__xludf.DUMMYFUNCTION("""COMPUTED_VALUE"""),0)</f>
        <v>0</v>
      </c>
      <c r="F3522" s="77"/>
      <c r="G3522" s="77"/>
    </row>
    <row r="3523" spans="1:7" ht="12.75" x14ac:dyDescent="0.2">
      <c r="A3523" s="78"/>
      <c r="B3523" s="78"/>
      <c r="C3523" s="78"/>
      <c r="D3523" s="78"/>
      <c r="E3523" s="80">
        <f ca="1">IFERROR(__xludf.DUMMYFUNCTION("""COMPUTED_VALUE"""),0)</f>
        <v>0</v>
      </c>
      <c r="F3523" s="77"/>
      <c r="G3523" s="77"/>
    </row>
    <row r="3524" spans="1:7" ht="12.75" x14ac:dyDescent="0.2">
      <c r="A3524" s="78"/>
      <c r="B3524" s="78"/>
      <c r="C3524" s="78"/>
      <c r="D3524" s="78"/>
      <c r="E3524" s="80">
        <f ca="1">IFERROR(__xludf.DUMMYFUNCTION("""COMPUTED_VALUE"""),0)</f>
        <v>0</v>
      </c>
      <c r="F3524" s="77"/>
      <c r="G3524" s="77"/>
    </row>
    <row r="3525" spans="1:7" ht="12.75" x14ac:dyDescent="0.2">
      <c r="A3525" s="78"/>
      <c r="B3525" s="78"/>
      <c r="C3525" s="78"/>
      <c r="D3525" s="78"/>
      <c r="E3525" s="80">
        <f ca="1">IFERROR(__xludf.DUMMYFUNCTION("""COMPUTED_VALUE"""),0)</f>
        <v>0</v>
      </c>
      <c r="F3525" s="77"/>
      <c r="G3525" s="77"/>
    </row>
    <row r="3526" spans="1:7" ht="12.75" x14ac:dyDescent="0.2">
      <c r="A3526" s="78"/>
      <c r="B3526" s="78"/>
      <c r="C3526" s="78"/>
      <c r="D3526" s="78"/>
      <c r="E3526" s="80">
        <f ca="1">IFERROR(__xludf.DUMMYFUNCTION("""COMPUTED_VALUE"""),0)</f>
        <v>0</v>
      </c>
      <c r="F3526" s="77"/>
      <c r="G3526" s="77"/>
    </row>
    <row r="3527" spans="1:7" ht="12.75" x14ac:dyDescent="0.2">
      <c r="A3527" s="78"/>
      <c r="B3527" s="78"/>
      <c r="C3527" s="78"/>
      <c r="D3527" s="78"/>
      <c r="E3527" s="80">
        <f ca="1">IFERROR(__xludf.DUMMYFUNCTION("""COMPUTED_VALUE"""),0)</f>
        <v>0</v>
      </c>
      <c r="F3527" s="77"/>
      <c r="G3527" s="77"/>
    </row>
    <row r="3528" spans="1:7" ht="12.75" x14ac:dyDescent="0.2">
      <c r="A3528" s="78"/>
      <c r="B3528" s="78"/>
      <c r="C3528" s="78"/>
      <c r="D3528" s="78"/>
      <c r="E3528" s="80">
        <f ca="1">IFERROR(__xludf.DUMMYFUNCTION("""COMPUTED_VALUE"""),0)</f>
        <v>0</v>
      </c>
      <c r="F3528" s="77"/>
      <c r="G3528" s="77"/>
    </row>
    <row r="3529" spans="1:7" ht="12.75" x14ac:dyDescent="0.2">
      <c r="A3529" s="78"/>
      <c r="B3529" s="78"/>
      <c r="C3529" s="78"/>
      <c r="D3529" s="78"/>
      <c r="E3529" s="80">
        <f ca="1">IFERROR(__xludf.DUMMYFUNCTION("""COMPUTED_VALUE"""),0)</f>
        <v>0</v>
      </c>
      <c r="F3529" s="77"/>
      <c r="G3529" s="77"/>
    </row>
    <row r="3530" spans="1:7" ht="12.75" x14ac:dyDescent="0.2">
      <c r="A3530" s="78"/>
      <c r="B3530" s="78"/>
      <c r="C3530" s="78"/>
      <c r="D3530" s="78"/>
      <c r="E3530" s="80">
        <f ca="1">IFERROR(__xludf.DUMMYFUNCTION("""COMPUTED_VALUE"""),0)</f>
        <v>0</v>
      </c>
      <c r="F3530" s="77"/>
      <c r="G3530" s="77"/>
    </row>
    <row r="3531" spans="1:7" ht="12.75" x14ac:dyDescent="0.2">
      <c r="A3531" s="78"/>
      <c r="B3531" s="78"/>
      <c r="C3531" s="78"/>
      <c r="D3531" s="78"/>
      <c r="E3531" s="80">
        <f ca="1">IFERROR(__xludf.DUMMYFUNCTION("""COMPUTED_VALUE"""),0)</f>
        <v>0</v>
      </c>
      <c r="F3531" s="77"/>
      <c r="G3531" s="77"/>
    </row>
    <row r="3532" spans="1:7" ht="12.75" x14ac:dyDescent="0.2">
      <c r="A3532" s="78"/>
      <c r="B3532" s="78"/>
      <c r="C3532" s="78"/>
      <c r="D3532" s="78"/>
      <c r="E3532" s="80">
        <f ca="1">IFERROR(__xludf.DUMMYFUNCTION("""COMPUTED_VALUE"""),0)</f>
        <v>0</v>
      </c>
      <c r="F3532" s="77"/>
      <c r="G3532" s="77"/>
    </row>
    <row r="3533" spans="1:7" ht="12.75" x14ac:dyDescent="0.2">
      <c r="A3533" s="78"/>
      <c r="B3533" s="78"/>
      <c r="C3533" s="78"/>
      <c r="D3533" s="78"/>
      <c r="E3533" s="80">
        <f ca="1">IFERROR(__xludf.DUMMYFUNCTION("""COMPUTED_VALUE"""),0)</f>
        <v>0</v>
      </c>
      <c r="F3533" s="77"/>
      <c r="G3533" s="77"/>
    </row>
    <row r="3534" spans="1:7" ht="12.75" x14ac:dyDescent="0.2">
      <c r="A3534" s="78"/>
      <c r="B3534" s="78"/>
      <c r="C3534" s="78"/>
      <c r="D3534" s="78"/>
      <c r="E3534" s="80">
        <f ca="1">IFERROR(__xludf.DUMMYFUNCTION("""COMPUTED_VALUE"""),0)</f>
        <v>0</v>
      </c>
      <c r="F3534" s="77"/>
      <c r="G3534" s="77"/>
    </row>
    <row r="3535" spans="1:7" ht="12.75" x14ac:dyDescent="0.2">
      <c r="A3535" s="78"/>
      <c r="B3535" s="78"/>
      <c r="C3535" s="78"/>
      <c r="D3535" s="78"/>
      <c r="E3535" s="80">
        <f ca="1">IFERROR(__xludf.DUMMYFUNCTION("""COMPUTED_VALUE"""),0)</f>
        <v>0</v>
      </c>
      <c r="F3535" s="77"/>
      <c r="G3535" s="77"/>
    </row>
    <row r="3536" spans="1:7" ht="12.75" x14ac:dyDescent="0.2">
      <c r="A3536" s="78"/>
      <c r="B3536" s="78"/>
      <c r="C3536" s="78"/>
      <c r="D3536" s="78"/>
      <c r="E3536" s="80">
        <f ca="1">IFERROR(__xludf.DUMMYFUNCTION("""COMPUTED_VALUE"""),0)</f>
        <v>0</v>
      </c>
      <c r="F3536" s="77"/>
      <c r="G3536" s="77"/>
    </row>
    <row r="3537" spans="1:7" ht="12.75" x14ac:dyDescent="0.2">
      <c r="A3537" s="78"/>
      <c r="B3537" s="78"/>
      <c r="C3537" s="78"/>
      <c r="D3537" s="78"/>
      <c r="E3537" s="80">
        <f ca="1">IFERROR(__xludf.DUMMYFUNCTION("""COMPUTED_VALUE"""),0)</f>
        <v>0</v>
      </c>
      <c r="F3537" s="77"/>
      <c r="G3537" s="77"/>
    </row>
    <row r="3538" spans="1:7" ht="12.75" x14ac:dyDescent="0.2">
      <c r="A3538" s="78"/>
      <c r="B3538" s="78"/>
      <c r="C3538" s="78"/>
      <c r="D3538" s="78"/>
      <c r="E3538" s="80">
        <f ca="1">IFERROR(__xludf.DUMMYFUNCTION("""COMPUTED_VALUE"""),0)</f>
        <v>0</v>
      </c>
      <c r="F3538" s="77"/>
      <c r="G3538" s="77"/>
    </row>
    <row r="3539" spans="1:7" ht="12.75" x14ac:dyDescent="0.2">
      <c r="A3539" s="78"/>
      <c r="B3539" s="78"/>
      <c r="C3539" s="78"/>
      <c r="D3539" s="78"/>
      <c r="E3539" s="80">
        <f ca="1">IFERROR(__xludf.DUMMYFUNCTION("""COMPUTED_VALUE"""),0)</f>
        <v>0</v>
      </c>
      <c r="F3539" s="77"/>
      <c r="G3539" s="77"/>
    </row>
    <row r="3540" spans="1:7" ht="12.75" x14ac:dyDescent="0.2">
      <c r="A3540" s="78"/>
      <c r="B3540" s="78"/>
      <c r="C3540" s="78"/>
      <c r="D3540" s="78"/>
      <c r="E3540" s="80">
        <f ca="1">IFERROR(__xludf.DUMMYFUNCTION("""COMPUTED_VALUE"""),0)</f>
        <v>0</v>
      </c>
      <c r="F3540" s="77"/>
      <c r="G3540" s="77"/>
    </row>
    <row r="3541" spans="1:7" ht="12.75" x14ac:dyDescent="0.2">
      <c r="A3541" s="78"/>
      <c r="B3541" s="78"/>
      <c r="C3541" s="78"/>
      <c r="D3541" s="78"/>
      <c r="E3541" s="80">
        <f ca="1">IFERROR(__xludf.DUMMYFUNCTION("""COMPUTED_VALUE"""),0)</f>
        <v>0</v>
      </c>
      <c r="F3541" s="77"/>
      <c r="G3541" s="77"/>
    </row>
    <row r="3542" spans="1:7" ht="12.75" x14ac:dyDescent="0.2">
      <c r="A3542" s="78"/>
      <c r="B3542" s="78"/>
      <c r="C3542" s="78"/>
      <c r="D3542" s="78"/>
      <c r="E3542" s="80">
        <f ca="1">IFERROR(__xludf.DUMMYFUNCTION("""COMPUTED_VALUE"""),0)</f>
        <v>0</v>
      </c>
      <c r="F3542" s="77"/>
      <c r="G3542" s="77"/>
    </row>
    <row r="3543" spans="1:7" ht="12.75" x14ac:dyDescent="0.2">
      <c r="A3543" s="78"/>
      <c r="B3543" s="78"/>
      <c r="C3543" s="78"/>
      <c r="D3543" s="78"/>
      <c r="E3543" s="80">
        <f ca="1">IFERROR(__xludf.DUMMYFUNCTION("""COMPUTED_VALUE"""),0)</f>
        <v>0</v>
      </c>
      <c r="F3543" s="77"/>
      <c r="G3543" s="77"/>
    </row>
    <row r="3544" spans="1:7" ht="12.75" x14ac:dyDescent="0.2">
      <c r="A3544" s="78"/>
      <c r="B3544" s="78"/>
      <c r="C3544" s="78"/>
      <c r="D3544" s="78"/>
      <c r="E3544" s="80">
        <f ca="1">IFERROR(__xludf.DUMMYFUNCTION("""COMPUTED_VALUE"""),0)</f>
        <v>0</v>
      </c>
      <c r="F3544" s="77"/>
      <c r="G3544" s="77"/>
    </row>
    <row r="3545" spans="1:7" ht="12.75" x14ac:dyDescent="0.2">
      <c r="A3545" s="78"/>
      <c r="B3545" s="78"/>
      <c r="C3545" s="78"/>
      <c r="D3545" s="78"/>
      <c r="E3545" s="80">
        <f ca="1">IFERROR(__xludf.DUMMYFUNCTION("""COMPUTED_VALUE"""),0)</f>
        <v>0</v>
      </c>
      <c r="F3545" s="77"/>
      <c r="G3545" s="77"/>
    </row>
    <row r="3546" spans="1:7" ht="12.75" x14ac:dyDescent="0.2">
      <c r="A3546" s="78"/>
      <c r="B3546" s="78"/>
      <c r="C3546" s="78"/>
      <c r="D3546" s="78"/>
      <c r="E3546" s="80">
        <f ca="1">IFERROR(__xludf.DUMMYFUNCTION("""COMPUTED_VALUE"""),0)</f>
        <v>0</v>
      </c>
      <c r="F3546" s="77"/>
      <c r="G3546" s="77"/>
    </row>
    <row r="3547" spans="1:7" ht="12.75" x14ac:dyDescent="0.2">
      <c r="A3547" s="78"/>
      <c r="B3547" s="78"/>
      <c r="C3547" s="78"/>
      <c r="D3547" s="78"/>
      <c r="E3547" s="80">
        <f ca="1">IFERROR(__xludf.DUMMYFUNCTION("""COMPUTED_VALUE"""),0)</f>
        <v>0</v>
      </c>
      <c r="F3547" s="77"/>
      <c r="G3547" s="77"/>
    </row>
    <row r="3548" spans="1:7" ht="12.75" x14ac:dyDescent="0.2">
      <c r="A3548" s="78"/>
      <c r="B3548" s="78"/>
      <c r="C3548" s="78"/>
      <c r="D3548" s="78"/>
      <c r="E3548" s="80">
        <f ca="1">IFERROR(__xludf.DUMMYFUNCTION("""COMPUTED_VALUE"""),0)</f>
        <v>0</v>
      </c>
      <c r="F3548" s="77"/>
      <c r="G3548" s="77"/>
    </row>
    <row r="3549" spans="1:7" ht="12.75" x14ac:dyDescent="0.2">
      <c r="A3549" s="78"/>
      <c r="B3549" s="78"/>
      <c r="C3549" s="78"/>
      <c r="D3549" s="78"/>
      <c r="E3549" s="80">
        <f ca="1">IFERROR(__xludf.DUMMYFUNCTION("""COMPUTED_VALUE"""),0)</f>
        <v>0</v>
      </c>
      <c r="F3549" s="77"/>
      <c r="G3549" s="77"/>
    </row>
    <row r="3550" spans="1:7" ht="12.75" x14ac:dyDescent="0.2">
      <c r="A3550" s="78"/>
      <c r="B3550" s="78"/>
      <c r="C3550" s="78"/>
      <c r="D3550" s="78"/>
      <c r="E3550" s="80">
        <f ca="1">IFERROR(__xludf.DUMMYFUNCTION("""COMPUTED_VALUE"""),0)</f>
        <v>0</v>
      </c>
      <c r="F3550" s="77"/>
      <c r="G3550" s="77"/>
    </row>
    <row r="3551" spans="1:7" ht="12.75" x14ac:dyDescent="0.2">
      <c r="A3551" s="78"/>
      <c r="B3551" s="78"/>
      <c r="C3551" s="78"/>
      <c r="D3551" s="78"/>
      <c r="E3551" s="80">
        <f ca="1">IFERROR(__xludf.DUMMYFUNCTION("""COMPUTED_VALUE"""),0)</f>
        <v>0</v>
      </c>
      <c r="F3551" s="77"/>
      <c r="G3551" s="77"/>
    </row>
    <row r="3552" spans="1:7" ht="12.75" x14ac:dyDescent="0.2">
      <c r="A3552" s="78"/>
      <c r="B3552" s="78"/>
      <c r="C3552" s="78"/>
      <c r="D3552" s="78"/>
      <c r="E3552" s="80">
        <f ca="1">IFERROR(__xludf.DUMMYFUNCTION("""COMPUTED_VALUE"""),0)</f>
        <v>0</v>
      </c>
      <c r="F3552" s="77"/>
      <c r="G3552" s="77"/>
    </row>
    <row r="3553" spans="1:7" ht="12.75" x14ac:dyDescent="0.2">
      <c r="A3553" s="78"/>
      <c r="B3553" s="78"/>
      <c r="C3553" s="78"/>
      <c r="D3553" s="78"/>
      <c r="E3553" s="80">
        <f ca="1">IFERROR(__xludf.DUMMYFUNCTION("""COMPUTED_VALUE"""),0)</f>
        <v>0</v>
      </c>
      <c r="F3553" s="77"/>
      <c r="G3553" s="77"/>
    </row>
    <row r="3554" spans="1:7" ht="12.75" x14ac:dyDescent="0.2">
      <c r="A3554" s="78"/>
      <c r="B3554" s="78"/>
      <c r="C3554" s="78"/>
      <c r="D3554" s="78"/>
      <c r="E3554" s="80">
        <f ca="1">IFERROR(__xludf.DUMMYFUNCTION("""COMPUTED_VALUE"""),0)</f>
        <v>0</v>
      </c>
      <c r="F3554" s="77"/>
      <c r="G3554" s="77"/>
    </row>
    <row r="3555" spans="1:7" ht="12.75" x14ac:dyDescent="0.2">
      <c r="A3555" s="78"/>
      <c r="B3555" s="78"/>
      <c r="C3555" s="78"/>
      <c r="D3555" s="78"/>
      <c r="E3555" s="80">
        <f ca="1">IFERROR(__xludf.DUMMYFUNCTION("""COMPUTED_VALUE"""),0)</f>
        <v>0</v>
      </c>
      <c r="F3555" s="77"/>
      <c r="G3555" s="77"/>
    </row>
    <row r="3556" spans="1:7" ht="12.75" x14ac:dyDescent="0.2">
      <c r="A3556" s="78"/>
      <c r="B3556" s="78"/>
      <c r="C3556" s="78"/>
      <c r="D3556" s="78"/>
      <c r="E3556" s="80">
        <f ca="1">IFERROR(__xludf.DUMMYFUNCTION("""COMPUTED_VALUE"""),0)</f>
        <v>0</v>
      </c>
      <c r="F3556" s="77"/>
      <c r="G3556" s="77"/>
    </row>
    <row r="3557" spans="1:7" ht="12.75" x14ac:dyDescent="0.2">
      <c r="A3557" s="78"/>
      <c r="B3557" s="78"/>
      <c r="C3557" s="78"/>
      <c r="D3557" s="78"/>
      <c r="E3557" s="80">
        <f ca="1">IFERROR(__xludf.DUMMYFUNCTION("""COMPUTED_VALUE"""),0)</f>
        <v>0</v>
      </c>
      <c r="F3557" s="77"/>
      <c r="G3557" s="77"/>
    </row>
    <row r="3558" spans="1:7" ht="12.75" x14ac:dyDescent="0.2">
      <c r="A3558" s="78"/>
      <c r="B3558" s="78"/>
      <c r="C3558" s="78"/>
      <c r="D3558" s="78"/>
      <c r="E3558" s="80">
        <f ca="1">IFERROR(__xludf.DUMMYFUNCTION("""COMPUTED_VALUE"""),0)</f>
        <v>0</v>
      </c>
      <c r="F3558" s="77"/>
      <c r="G3558" s="77"/>
    </row>
    <row r="3559" spans="1:7" ht="12.75" x14ac:dyDescent="0.2">
      <c r="A3559" s="78"/>
      <c r="B3559" s="78"/>
      <c r="C3559" s="78"/>
      <c r="D3559" s="78"/>
      <c r="E3559" s="80">
        <f ca="1">IFERROR(__xludf.DUMMYFUNCTION("""COMPUTED_VALUE"""),0)</f>
        <v>0</v>
      </c>
      <c r="F3559" s="77"/>
      <c r="G3559" s="77"/>
    </row>
    <row r="3560" spans="1:7" ht="12.75" x14ac:dyDescent="0.2">
      <c r="A3560" s="78"/>
      <c r="B3560" s="78"/>
      <c r="C3560" s="78"/>
      <c r="D3560" s="78"/>
      <c r="E3560" s="80">
        <f ca="1">IFERROR(__xludf.DUMMYFUNCTION("""COMPUTED_VALUE"""),0)</f>
        <v>0</v>
      </c>
      <c r="F3560" s="77"/>
      <c r="G3560" s="77"/>
    </row>
    <row r="3561" spans="1:7" ht="12.75" x14ac:dyDescent="0.2">
      <c r="A3561" s="78"/>
      <c r="B3561" s="78"/>
      <c r="C3561" s="78"/>
      <c r="D3561" s="78"/>
      <c r="E3561" s="80">
        <f ca="1">IFERROR(__xludf.DUMMYFUNCTION("""COMPUTED_VALUE"""),0)</f>
        <v>0</v>
      </c>
      <c r="F3561" s="77"/>
      <c r="G3561" s="77"/>
    </row>
    <row r="3562" spans="1:7" ht="12.75" x14ac:dyDescent="0.2">
      <c r="A3562" s="78"/>
      <c r="B3562" s="78"/>
      <c r="C3562" s="78"/>
      <c r="D3562" s="78"/>
      <c r="E3562" s="80">
        <f ca="1">IFERROR(__xludf.DUMMYFUNCTION("""COMPUTED_VALUE"""),0)</f>
        <v>0</v>
      </c>
      <c r="F3562" s="77"/>
      <c r="G3562" s="77"/>
    </row>
    <row r="3563" spans="1:7" ht="12.75" x14ac:dyDescent="0.2">
      <c r="A3563" s="78"/>
      <c r="B3563" s="78"/>
      <c r="C3563" s="78"/>
      <c r="D3563" s="78"/>
      <c r="E3563" s="80">
        <f ca="1">IFERROR(__xludf.DUMMYFUNCTION("""COMPUTED_VALUE"""),0)</f>
        <v>0</v>
      </c>
      <c r="F3563" s="77"/>
      <c r="G3563" s="77"/>
    </row>
    <row r="3564" spans="1:7" ht="12.75" x14ac:dyDescent="0.2">
      <c r="A3564" s="78"/>
      <c r="B3564" s="78"/>
      <c r="C3564" s="78"/>
      <c r="D3564" s="78"/>
      <c r="E3564" s="80">
        <f ca="1">IFERROR(__xludf.DUMMYFUNCTION("""COMPUTED_VALUE"""),0)</f>
        <v>0</v>
      </c>
      <c r="F3564" s="77"/>
      <c r="G3564" s="77"/>
    </row>
    <row r="3565" spans="1:7" ht="12.75" x14ac:dyDescent="0.2">
      <c r="A3565" s="78"/>
      <c r="B3565" s="78"/>
      <c r="C3565" s="78"/>
      <c r="D3565" s="78"/>
      <c r="E3565" s="80">
        <f ca="1">IFERROR(__xludf.DUMMYFUNCTION("""COMPUTED_VALUE"""),0)</f>
        <v>0</v>
      </c>
      <c r="F3565" s="77"/>
      <c r="G3565" s="77"/>
    </row>
    <row r="3566" spans="1:7" ht="12.75" x14ac:dyDescent="0.2">
      <c r="A3566" s="78"/>
      <c r="B3566" s="78"/>
      <c r="C3566" s="78"/>
      <c r="D3566" s="78"/>
      <c r="E3566" s="80">
        <f ca="1">IFERROR(__xludf.DUMMYFUNCTION("""COMPUTED_VALUE"""),0)</f>
        <v>0</v>
      </c>
      <c r="F3566" s="77"/>
      <c r="G3566" s="77"/>
    </row>
    <row r="3567" spans="1:7" ht="12.75" x14ac:dyDescent="0.2">
      <c r="A3567" s="78"/>
      <c r="B3567" s="78"/>
      <c r="C3567" s="78"/>
      <c r="D3567" s="78"/>
      <c r="E3567" s="80">
        <f ca="1">IFERROR(__xludf.DUMMYFUNCTION("""COMPUTED_VALUE"""),0)</f>
        <v>0</v>
      </c>
      <c r="F3567" s="77"/>
      <c r="G3567" s="77"/>
    </row>
    <row r="3568" spans="1:7" ht="12.75" x14ac:dyDescent="0.2">
      <c r="A3568" s="78"/>
      <c r="B3568" s="78"/>
      <c r="C3568" s="78"/>
      <c r="D3568" s="78"/>
      <c r="E3568" s="80">
        <f ca="1">IFERROR(__xludf.DUMMYFUNCTION("""COMPUTED_VALUE"""),0)</f>
        <v>0</v>
      </c>
      <c r="F3568" s="77"/>
      <c r="G3568" s="77"/>
    </row>
    <row r="3569" spans="1:7" ht="12.75" x14ac:dyDescent="0.2">
      <c r="A3569" s="78"/>
      <c r="B3569" s="78"/>
      <c r="C3569" s="78"/>
      <c r="D3569" s="78"/>
      <c r="E3569" s="80">
        <f ca="1">IFERROR(__xludf.DUMMYFUNCTION("""COMPUTED_VALUE"""),0)</f>
        <v>0</v>
      </c>
      <c r="F3569" s="77"/>
      <c r="G3569" s="77"/>
    </row>
    <row r="3570" spans="1:7" ht="12.75" x14ac:dyDescent="0.2">
      <c r="A3570" s="78"/>
      <c r="B3570" s="78"/>
      <c r="C3570" s="78"/>
      <c r="D3570" s="78"/>
      <c r="E3570" s="80">
        <f ca="1">IFERROR(__xludf.DUMMYFUNCTION("""COMPUTED_VALUE"""),0)</f>
        <v>0</v>
      </c>
      <c r="F3570" s="77"/>
      <c r="G3570" s="77"/>
    </row>
    <row r="3571" spans="1:7" ht="12.75" x14ac:dyDescent="0.2">
      <c r="A3571" s="78"/>
      <c r="B3571" s="78"/>
      <c r="C3571" s="78"/>
      <c r="D3571" s="78"/>
      <c r="E3571" s="80">
        <f ca="1">IFERROR(__xludf.DUMMYFUNCTION("""COMPUTED_VALUE"""),0)</f>
        <v>0</v>
      </c>
      <c r="F3571" s="77"/>
      <c r="G3571" s="77"/>
    </row>
    <row r="3572" spans="1:7" ht="12.75" x14ac:dyDescent="0.2">
      <c r="A3572" s="78"/>
      <c r="B3572" s="78"/>
      <c r="C3572" s="78"/>
      <c r="D3572" s="78"/>
      <c r="E3572" s="80">
        <f ca="1">IFERROR(__xludf.DUMMYFUNCTION("""COMPUTED_VALUE"""),0)</f>
        <v>0</v>
      </c>
      <c r="F3572" s="77"/>
      <c r="G3572" s="77"/>
    </row>
    <row r="3573" spans="1:7" ht="12.75" x14ac:dyDescent="0.2">
      <c r="A3573" s="78"/>
      <c r="B3573" s="78"/>
      <c r="C3573" s="78"/>
      <c r="D3573" s="78"/>
      <c r="E3573" s="80">
        <f ca="1">IFERROR(__xludf.DUMMYFUNCTION("""COMPUTED_VALUE"""),0)</f>
        <v>0</v>
      </c>
      <c r="F3573" s="77"/>
      <c r="G3573" s="77"/>
    </row>
    <row r="3574" spans="1:7" ht="12.75" x14ac:dyDescent="0.2">
      <c r="A3574" s="78"/>
      <c r="B3574" s="78"/>
      <c r="C3574" s="78"/>
      <c r="D3574" s="78"/>
      <c r="E3574" s="80">
        <f ca="1">IFERROR(__xludf.DUMMYFUNCTION("""COMPUTED_VALUE"""),0)</f>
        <v>0</v>
      </c>
      <c r="F3574" s="77"/>
      <c r="G3574" s="77"/>
    </row>
    <row r="3575" spans="1:7" ht="12.75" x14ac:dyDescent="0.2">
      <c r="A3575" s="78"/>
      <c r="B3575" s="78"/>
      <c r="C3575" s="78"/>
      <c r="D3575" s="78"/>
      <c r="E3575" s="80">
        <f ca="1">IFERROR(__xludf.DUMMYFUNCTION("""COMPUTED_VALUE"""),0)</f>
        <v>0</v>
      </c>
      <c r="F3575" s="77"/>
      <c r="G3575" s="77"/>
    </row>
    <row r="3576" spans="1:7" ht="12.75" x14ac:dyDescent="0.2">
      <c r="A3576" s="78"/>
      <c r="B3576" s="78"/>
      <c r="C3576" s="78"/>
      <c r="D3576" s="78"/>
      <c r="E3576" s="80">
        <f ca="1">IFERROR(__xludf.DUMMYFUNCTION("""COMPUTED_VALUE"""),0)</f>
        <v>0</v>
      </c>
      <c r="F3576" s="77"/>
      <c r="G3576" s="77"/>
    </row>
    <row r="3577" spans="1:7" ht="12.75" x14ac:dyDescent="0.2">
      <c r="A3577" s="78"/>
      <c r="B3577" s="78"/>
      <c r="C3577" s="78"/>
      <c r="D3577" s="78"/>
      <c r="E3577" s="80">
        <f ca="1">IFERROR(__xludf.DUMMYFUNCTION("""COMPUTED_VALUE"""),0)</f>
        <v>0</v>
      </c>
      <c r="F3577" s="77"/>
      <c r="G3577" s="77"/>
    </row>
    <row r="3578" spans="1:7" ht="12.75" x14ac:dyDescent="0.2">
      <c r="A3578" s="78"/>
      <c r="B3578" s="78"/>
      <c r="C3578" s="78"/>
      <c r="D3578" s="78"/>
      <c r="E3578" s="80">
        <f ca="1">IFERROR(__xludf.DUMMYFUNCTION("""COMPUTED_VALUE"""),0)</f>
        <v>0</v>
      </c>
      <c r="F3578" s="77"/>
      <c r="G3578" s="77"/>
    </row>
    <row r="3579" spans="1:7" ht="12.75" x14ac:dyDescent="0.2">
      <c r="A3579" s="78"/>
      <c r="B3579" s="78"/>
      <c r="C3579" s="78"/>
      <c r="D3579" s="78"/>
      <c r="E3579" s="80">
        <f ca="1">IFERROR(__xludf.DUMMYFUNCTION("""COMPUTED_VALUE"""),0)</f>
        <v>0</v>
      </c>
      <c r="F3579" s="77"/>
      <c r="G3579" s="77"/>
    </row>
    <row r="3580" spans="1:7" ht="12.75" x14ac:dyDescent="0.2">
      <c r="A3580" s="78"/>
      <c r="B3580" s="78"/>
      <c r="C3580" s="78"/>
      <c r="D3580" s="78"/>
      <c r="E3580" s="80">
        <f ca="1">IFERROR(__xludf.DUMMYFUNCTION("""COMPUTED_VALUE"""),0)</f>
        <v>0</v>
      </c>
      <c r="F3580" s="77"/>
      <c r="G3580" s="77"/>
    </row>
    <row r="3581" spans="1:7" ht="12.75" x14ac:dyDescent="0.2">
      <c r="A3581" s="78"/>
      <c r="B3581" s="78"/>
      <c r="C3581" s="78"/>
      <c r="D3581" s="78"/>
      <c r="E3581" s="80">
        <f ca="1">IFERROR(__xludf.DUMMYFUNCTION("""COMPUTED_VALUE"""),0)</f>
        <v>0</v>
      </c>
      <c r="F3581" s="77"/>
      <c r="G3581" s="77"/>
    </row>
    <row r="3582" spans="1:7" ht="12.75" x14ac:dyDescent="0.2">
      <c r="A3582" s="78"/>
      <c r="B3582" s="78"/>
      <c r="C3582" s="78"/>
      <c r="D3582" s="78"/>
      <c r="E3582" s="80">
        <f ca="1">IFERROR(__xludf.DUMMYFUNCTION("""COMPUTED_VALUE"""),0)</f>
        <v>0</v>
      </c>
      <c r="F3582" s="77"/>
      <c r="G3582" s="77"/>
    </row>
    <row r="3583" spans="1:7" ht="12.75" x14ac:dyDescent="0.2">
      <c r="A3583" s="78"/>
      <c r="B3583" s="78"/>
      <c r="C3583" s="78"/>
      <c r="D3583" s="78"/>
      <c r="E3583" s="80">
        <f ca="1">IFERROR(__xludf.DUMMYFUNCTION("""COMPUTED_VALUE"""),0)</f>
        <v>0</v>
      </c>
      <c r="F3583" s="77"/>
      <c r="G3583" s="77"/>
    </row>
    <row r="3584" spans="1:7" ht="12.75" x14ac:dyDescent="0.2">
      <c r="A3584" s="78"/>
      <c r="B3584" s="78"/>
      <c r="C3584" s="78"/>
      <c r="D3584" s="78"/>
      <c r="E3584" s="80">
        <f ca="1">IFERROR(__xludf.DUMMYFUNCTION("""COMPUTED_VALUE"""),0)</f>
        <v>0</v>
      </c>
      <c r="F3584" s="77"/>
      <c r="G3584" s="77"/>
    </row>
    <row r="3585" spans="1:7" ht="12.75" x14ac:dyDescent="0.2">
      <c r="A3585" s="78"/>
      <c r="B3585" s="78"/>
      <c r="C3585" s="78"/>
      <c r="D3585" s="78"/>
      <c r="E3585" s="80">
        <f ca="1">IFERROR(__xludf.DUMMYFUNCTION("""COMPUTED_VALUE"""),0)</f>
        <v>0</v>
      </c>
      <c r="F3585" s="77"/>
      <c r="G3585" s="77"/>
    </row>
    <row r="3586" spans="1:7" ht="12.75" x14ac:dyDescent="0.2">
      <c r="A3586" s="78"/>
      <c r="B3586" s="78"/>
      <c r="C3586" s="78"/>
      <c r="D3586" s="78"/>
      <c r="E3586" s="80">
        <f ca="1">IFERROR(__xludf.DUMMYFUNCTION("""COMPUTED_VALUE"""),0)</f>
        <v>0</v>
      </c>
      <c r="F3586" s="77"/>
      <c r="G3586" s="77"/>
    </row>
    <row r="3587" spans="1:7" ht="12.75" x14ac:dyDescent="0.2">
      <c r="A3587" s="78"/>
      <c r="B3587" s="78"/>
      <c r="C3587" s="78"/>
      <c r="D3587" s="78"/>
      <c r="E3587" s="80">
        <f ca="1">IFERROR(__xludf.DUMMYFUNCTION("""COMPUTED_VALUE"""),0)</f>
        <v>0</v>
      </c>
      <c r="F3587" s="77"/>
      <c r="G3587" s="77"/>
    </row>
    <row r="3588" spans="1:7" ht="12.75" x14ac:dyDescent="0.2">
      <c r="A3588" s="78"/>
      <c r="B3588" s="78"/>
      <c r="C3588" s="78"/>
      <c r="D3588" s="78"/>
      <c r="E3588" s="80">
        <f ca="1">IFERROR(__xludf.DUMMYFUNCTION("""COMPUTED_VALUE"""),0)</f>
        <v>0</v>
      </c>
      <c r="F3588" s="77"/>
      <c r="G3588" s="77"/>
    </row>
    <row r="3589" spans="1:7" ht="12.75" x14ac:dyDescent="0.2">
      <c r="A3589" s="78"/>
      <c r="B3589" s="78"/>
      <c r="C3589" s="78"/>
      <c r="D3589" s="78"/>
      <c r="E3589" s="80">
        <f ca="1">IFERROR(__xludf.DUMMYFUNCTION("""COMPUTED_VALUE"""),0)</f>
        <v>0</v>
      </c>
      <c r="F3589" s="77"/>
      <c r="G3589" s="77"/>
    </row>
    <row r="3590" spans="1:7" ht="12.75" x14ac:dyDescent="0.2">
      <c r="A3590" s="78"/>
      <c r="B3590" s="78"/>
      <c r="C3590" s="78"/>
      <c r="D3590" s="78"/>
      <c r="E3590" s="80">
        <f ca="1">IFERROR(__xludf.DUMMYFUNCTION("""COMPUTED_VALUE"""),0)</f>
        <v>0</v>
      </c>
      <c r="F3590" s="77"/>
      <c r="G3590" s="77"/>
    </row>
    <row r="3591" spans="1:7" ht="12.75" x14ac:dyDescent="0.2">
      <c r="A3591" s="78"/>
      <c r="B3591" s="78"/>
      <c r="C3591" s="78"/>
      <c r="D3591" s="78"/>
      <c r="E3591" s="80">
        <f ca="1">IFERROR(__xludf.DUMMYFUNCTION("""COMPUTED_VALUE"""),0)</f>
        <v>0</v>
      </c>
      <c r="F3591" s="77"/>
      <c r="G3591" s="77"/>
    </row>
    <row r="3592" spans="1:7" ht="12.75" x14ac:dyDescent="0.2">
      <c r="A3592" s="78"/>
      <c r="B3592" s="78"/>
      <c r="C3592" s="78"/>
      <c r="D3592" s="78"/>
      <c r="E3592" s="80">
        <f ca="1">IFERROR(__xludf.DUMMYFUNCTION("""COMPUTED_VALUE"""),0)</f>
        <v>0</v>
      </c>
      <c r="F3592" s="77"/>
      <c r="G3592" s="77"/>
    </row>
    <row r="3593" spans="1:7" ht="12.75" x14ac:dyDescent="0.2">
      <c r="A3593" s="78"/>
      <c r="B3593" s="78"/>
      <c r="C3593" s="78"/>
      <c r="D3593" s="78"/>
      <c r="E3593" s="80">
        <f ca="1">IFERROR(__xludf.DUMMYFUNCTION("""COMPUTED_VALUE"""),0)</f>
        <v>0</v>
      </c>
      <c r="F3593" s="77"/>
      <c r="G3593" s="77"/>
    </row>
    <row r="3594" spans="1:7" ht="12.75" x14ac:dyDescent="0.2">
      <c r="A3594" s="78"/>
      <c r="B3594" s="78"/>
      <c r="C3594" s="78"/>
      <c r="D3594" s="78"/>
      <c r="E3594" s="80">
        <f ca="1">IFERROR(__xludf.DUMMYFUNCTION("""COMPUTED_VALUE"""),0)</f>
        <v>0</v>
      </c>
      <c r="F3594" s="77"/>
      <c r="G3594" s="77"/>
    </row>
    <row r="3595" spans="1:7" ht="12.75" x14ac:dyDescent="0.2">
      <c r="A3595" s="78"/>
      <c r="B3595" s="78"/>
      <c r="C3595" s="78"/>
      <c r="D3595" s="78"/>
      <c r="E3595" s="80">
        <f ca="1">IFERROR(__xludf.DUMMYFUNCTION("""COMPUTED_VALUE"""),0)</f>
        <v>0</v>
      </c>
      <c r="F3595" s="77"/>
      <c r="G3595" s="77"/>
    </row>
    <row r="3596" spans="1:7" ht="12.75" x14ac:dyDescent="0.2">
      <c r="A3596" s="78"/>
      <c r="B3596" s="78"/>
      <c r="C3596" s="78"/>
      <c r="D3596" s="78"/>
      <c r="E3596" s="80">
        <f ca="1">IFERROR(__xludf.DUMMYFUNCTION("""COMPUTED_VALUE"""),0)</f>
        <v>0</v>
      </c>
      <c r="F3596" s="77"/>
      <c r="G3596" s="77"/>
    </row>
    <row r="3597" spans="1:7" ht="12.75" x14ac:dyDescent="0.2">
      <c r="A3597" s="78"/>
      <c r="B3597" s="78"/>
      <c r="C3597" s="78"/>
      <c r="D3597" s="78"/>
      <c r="E3597" s="80">
        <f ca="1">IFERROR(__xludf.DUMMYFUNCTION("""COMPUTED_VALUE"""),0)</f>
        <v>0</v>
      </c>
      <c r="F3597" s="77"/>
      <c r="G3597" s="77"/>
    </row>
    <row r="3598" spans="1:7" ht="12.75" x14ac:dyDescent="0.2">
      <c r="A3598" s="78"/>
      <c r="B3598" s="78"/>
      <c r="C3598" s="78"/>
      <c r="D3598" s="78"/>
      <c r="E3598" s="80">
        <f ca="1">IFERROR(__xludf.DUMMYFUNCTION("""COMPUTED_VALUE"""),0)</f>
        <v>0</v>
      </c>
      <c r="F3598" s="77"/>
      <c r="G3598" s="77"/>
    </row>
    <row r="3599" spans="1:7" ht="12.75" x14ac:dyDescent="0.2">
      <c r="A3599" s="78"/>
      <c r="B3599" s="78"/>
      <c r="C3599" s="78"/>
      <c r="D3599" s="78"/>
      <c r="E3599" s="80">
        <f ca="1">IFERROR(__xludf.DUMMYFUNCTION("""COMPUTED_VALUE"""),0)</f>
        <v>0</v>
      </c>
      <c r="F3599" s="77"/>
      <c r="G3599" s="77"/>
    </row>
    <row r="3600" spans="1:7" ht="12.75" x14ac:dyDescent="0.2">
      <c r="A3600" s="78"/>
      <c r="B3600" s="78"/>
      <c r="C3600" s="78"/>
      <c r="D3600" s="78"/>
      <c r="E3600" s="80">
        <f ca="1">IFERROR(__xludf.DUMMYFUNCTION("""COMPUTED_VALUE"""),0)</f>
        <v>0</v>
      </c>
      <c r="F3600" s="77"/>
      <c r="G3600" s="77"/>
    </row>
    <row r="3601" spans="1:7" ht="12.75" x14ac:dyDescent="0.2">
      <c r="A3601" s="78"/>
      <c r="B3601" s="78"/>
      <c r="C3601" s="78"/>
      <c r="D3601" s="78"/>
      <c r="E3601" s="80">
        <f ca="1">IFERROR(__xludf.DUMMYFUNCTION("""COMPUTED_VALUE"""),0)</f>
        <v>0</v>
      </c>
      <c r="F3601" s="77"/>
      <c r="G3601" s="77"/>
    </row>
    <row r="3602" spans="1:7" ht="12.75" x14ac:dyDescent="0.2">
      <c r="A3602" s="78"/>
      <c r="B3602" s="78"/>
      <c r="C3602" s="78"/>
      <c r="D3602" s="78"/>
      <c r="E3602" s="80">
        <f ca="1">IFERROR(__xludf.DUMMYFUNCTION("""COMPUTED_VALUE"""),0)</f>
        <v>0</v>
      </c>
      <c r="F3602" s="77"/>
      <c r="G3602" s="77"/>
    </row>
    <row r="3603" spans="1:7" ht="12.75" x14ac:dyDescent="0.2">
      <c r="A3603" s="78"/>
      <c r="B3603" s="78"/>
      <c r="C3603" s="78"/>
      <c r="D3603" s="78"/>
      <c r="E3603" s="80">
        <f ca="1">IFERROR(__xludf.DUMMYFUNCTION("""COMPUTED_VALUE"""),0)</f>
        <v>0</v>
      </c>
      <c r="F3603" s="77"/>
      <c r="G3603" s="77"/>
    </row>
    <row r="3604" spans="1:7" ht="12.75" x14ac:dyDescent="0.2">
      <c r="A3604" s="78"/>
      <c r="B3604" s="78"/>
      <c r="C3604" s="78"/>
      <c r="D3604" s="78"/>
      <c r="E3604" s="80">
        <f ca="1">IFERROR(__xludf.DUMMYFUNCTION("""COMPUTED_VALUE"""),0)</f>
        <v>0</v>
      </c>
      <c r="F3604" s="77"/>
      <c r="G3604" s="77"/>
    </row>
    <row r="3605" spans="1:7" ht="12.75" x14ac:dyDescent="0.2">
      <c r="A3605" s="78"/>
      <c r="B3605" s="78"/>
      <c r="C3605" s="78"/>
      <c r="D3605" s="78"/>
      <c r="E3605" s="80">
        <f ca="1">IFERROR(__xludf.DUMMYFUNCTION("""COMPUTED_VALUE"""),0)</f>
        <v>0</v>
      </c>
      <c r="F3605" s="77"/>
      <c r="G3605" s="77"/>
    </row>
    <row r="3606" spans="1:7" ht="12.75" x14ac:dyDescent="0.2">
      <c r="A3606" s="78"/>
      <c r="B3606" s="78"/>
      <c r="C3606" s="78"/>
      <c r="D3606" s="78"/>
      <c r="E3606" s="80">
        <f ca="1">IFERROR(__xludf.DUMMYFUNCTION("""COMPUTED_VALUE"""),0)</f>
        <v>0</v>
      </c>
      <c r="F3606" s="77"/>
      <c r="G3606" s="77"/>
    </row>
    <row r="3607" spans="1:7" ht="12.75" x14ac:dyDescent="0.2">
      <c r="A3607" s="78"/>
      <c r="B3607" s="78"/>
      <c r="C3607" s="78"/>
      <c r="D3607" s="78"/>
      <c r="E3607" s="80">
        <f ca="1">IFERROR(__xludf.DUMMYFUNCTION("""COMPUTED_VALUE"""),0)</f>
        <v>0</v>
      </c>
      <c r="F3607" s="77"/>
      <c r="G3607" s="77"/>
    </row>
    <row r="3608" spans="1:7" ht="12.75" x14ac:dyDescent="0.2">
      <c r="A3608" s="78"/>
      <c r="B3608" s="78"/>
      <c r="C3608" s="78"/>
      <c r="D3608" s="78"/>
      <c r="E3608" s="80">
        <f ca="1">IFERROR(__xludf.DUMMYFUNCTION("""COMPUTED_VALUE"""),0)</f>
        <v>0</v>
      </c>
      <c r="F3608" s="77"/>
      <c r="G3608" s="77"/>
    </row>
    <row r="3609" spans="1:7" ht="12.75" x14ac:dyDescent="0.2">
      <c r="A3609" s="78"/>
      <c r="B3609" s="78"/>
      <c r="C3609" s="78"/>
      <c r="D3609" s="78"/>
      <c r="E3609" s="80">
        <f ca="1">IFERROR(__xludf.DUMMYFUNCTION("""COMPUTED_VALUE"""),0)</f>
        <v>0</v>
      </c>
      <c r="F3609" s="77"/>
      <c r="G3609" s="77"/>
    </row>
    <row r="3610" spans="1:7" ht="12.75" x14ac:dyDescent="0.2">
      <c r="A3610" s="78"/>
      <c r="B3610" s="78"/>
      <c r="C3610" s="78"/>
      <c r="D3610" s="78"/>
      <c r="E3610" s="80">
        <f ca="1">IFERROR(__xludf.DUMMYFUNCTION("""COMPUTED_VALUE"""),0)</f>
        <v>0</v>
      </c>
      <c r="F3610" s="77"/>
      <c r="G3610" s="77"/>
    </row>
    <row r="3611" spans="1:7" ht="12.75" x14ac:dyDescent="0.2">
      <c r="A3611" s="78"/>
      <c r="B3611" s="78"/>
      <c r="C3611" s="78"/>
      <c r="D3611" s="78"/>
      <c r="E3611" s="80">
        <f ca="1">IFERROR(__xludf.DUMMYFUNCTION("""COMPUTED_VALUE"""),0)</f>
        <v>0</v>
      </c>
      <c r="F3611" s="77"/>
      <c r="G3611" s="77"/>
    </row>
    <row r="3612" spans="1:7" ht="12.75" x14ac:dyDescent="0.2">
      <c r="A3612" s="78"/>
      <c r="B3612" s="78"/>
      <c r="C3612" s="78"/>
      <c r="D3612" s="78"/>
      <c r="E3612" s="80">
        <f ca="1">IFERROR(__xludf.DUMMYFUNCTION("""COMPUTED_VALUE"""),0)</f>
        <v>0</v>
      </c>
      <c r="F3612" s="77"/>
      <c r="G3612" s="77"/>
    </row>
    <row r="3613" spans="1:7" ht="12.75" x14ac:dyDescent="0.2">
      <c r="A3613" s="78"/>
      <c r="B3613" s="78"/>
      <c r="C3613" s="78"/>
      <c r="D3613" s="78"/>
      <c r="E3613" s="80">
        <f ca="1">IFERROR(__xludf.DUMMYFUNCTION("""COMPUTED_VALUE"""),0)</f>
        <v>0</v>
      </c>
      <c r="F3613" s="77"/>
      <c r="G3613" s="77"/>
    </row>
    <row r="3614" spans="1:7" ht="12.75" x14ac:dyDescent="0.2">
      <c r="A3614" s="78"/>
      <c r="B3614" s="78"/>
      <c r="C3614" s="78"/>
      <c r="D3614" s="78"/>
      <c r="E3614" s="80">
        <f ca="1">IFERROR(__xludf.DUMMYFUNCTION("""COMPUTED_VALUE"""),0)</f>
        <v>0</v>
      </c>
      <c r="F3614" s="77"/>
      <c r="G3614" s="77"/>
    </row>
    <row r="3615" spans="1:7" ht="12.75" x14ac:dyDescent="0.2">
      <c r="A3615" s="78"/>
      <c r="B3615" s="78"/>
      <c r="C3615" s="78"/>
      <c r="D3615" s="78"/>
      <c r="E3615" s="80">
        <f ca="1">IFERROR(__xludf.DUMMYFUNCTION("""COMPUTED_VALUE"""),0)</f>
        <v>0</v>
      </c>
      <c r="F3615" s="77"/>
      <c r="G3615" s="77"/>
    </row>
    <row r="3616" spans="1:7" ht="12.75" x14ac:dyDescent="0.2">
      <c r="A3616" s="78"/>
      <c r="B3616" s="78"/>
      <c r="C3616" s="78"/>
      <c r="D3616" s="78"/>
      <c r="E3616" s="80">
        <f ca="1">IFERROR(__xludf.DUMMYFUNCTION("""COMPUTED_VALUE"""),0)</f>
        <v>0</v>
      </c>
      <c r="F3616" s="77"/>
      <c r="G3616" s="77"/>
    </row>
    <row r="3617" spans="1:7" ht="12.75" x14ac:dyDescent="0.2">
      <c r="A3617" s="78"/>
      <c r="B3617" s="78"/>
      <c r="C3617" s="78"/>
      <c r="D3617" s="78"/>
      <c r="E3617" s="80">
        <f ca="1">IFERROR(__xludf.DUMMYFUNCTION("""COMPUTED_VALUE"""),0)</f>
        <v>0</v>
      </c>
      <c r="F3617" s="77"/>
      <c r="G3617" s="77"/>
    </row>
    <row r="3618" spans="1:7" ht="12.75" x14ac:dyDescent="0.2">
      <c r="A3618" s="78"/>
      <c r="B3618" s="78"/>
      <c r="C3618" s="78"/>
      <c r="D3618" s="78"/>
      <c r="E3618" s="80">
        <f ca="1">IFERROR(__xludf.DUMMYFUNCTION("""COMPUTED_VALUE"""),0)</f>
        <v>0</v>
      </c>
      <c r="F3618" s="77"/>
      <c r="G3618" s="77"/>
    </row>
    <row r="3619" spans="1:7" ht="12.75" x14ac:dyDescent="0.2">
      <c r="A3619" s="78"/>
      <c r="B3619" s="78"/>
      <c r="C3619" s="78"/>
      <c r="D3619" s="78"/>
      <c r="E3619" s="80">
        <f ca="1">IFERROR(__xludf.DUMMYFUNCTION("""COMPUTED_VALUE"""),0)</f>
        <v>0</v>
      </c>
      <c r="F3619" s="77"/>
      <c r="G3619" s="77"/>
    </row>
    <row r="3620" spans="1:7" ht="12.75" x14ac:dyDescent="0.2">
      <c r="A3620" s="78"/>
      <c r="B3620" s="78"/>
      <c r="C3620" s="78"/>
      <c r="D3620" s="78"/>
      <c r="E3620" s="80">
        <f ca="1">IFERROR(__xludf.DUMMYFUNCTION("""COMPUTED_VALUE"""),0)</f>
        <v>0</v>
      </c>
      <c r="F3620" s="77"/>
      <c r="G3620" s="77"/>
    </row>
    <row r="3621" spans="1:7" ht="12.75" x14ac:dyDescent="0.2">
      <c r="A3621" s="78"/>
      <c r="B3621" s="78"/>
      <c r="C3621" s="78"/>
      <c r="D3621" s="78"/>
      <c r="E3621" s="80">
        <f ca="1">IFERROR(__xludf.DUMMYFUNCTION("""COMPUTED_VALUE"""),0)</f>
        <v>0</v>
      </c>
      <c r="F3621" s="77"/>
      <c r="G3621" s="77"/>
    </row>
    <row r="3622" spans="1:7" ht="12.75" x14ac:dyDescent="0.2">
      <c r="A3622" s="78"/>
      <c r="B3622" s="78"/>
      <c r="C3622" s="78"/>
      <c r="D3622" s="78"/>
      <c r="E3622" s="80">
        <f ca="1">IFERROR(__xludf.DUMMYFUNCTION("""COMPUTED_VALUE"""),0)</f>
        <v>0</v>
      </c>
      <c r="F3622" s="77"/>
      <c r="G3622" s="77"/>
    </row>
    <row r="3623" spans="1:7" ht="12.75" x14ac:dyDescent="0.2">
      <c r="A3623" s="78"/>
      <c r="B3623" s="78"/>
      <c r="C3623" s="78"/>
      <c r="D3623" s="78"/>
      <c r="E3623" s="80">
        <f ca="1">IFERROR(__xludf.DUMMYFUNCTION("""COMPUTED_VALUE"""),0)</f>
        <v>0</v>
      </c>
      <c r="F3623" s="77"/>
      <c r="G3623" s="77"/>
    </row>
    <row r="3624" spans="1:7" ht="12.75" x14ac:dyDescent="0.2">
      <c r="A3624" s="78"/>
      <c r="B3624" s="78"/>
      <c r="C3624" s="78"/>
      <c r="D3624" s="78"/>
      <c r="E3624" s="80">
        <f ca="1">IFERROR(__xludf.DUMMYFUNCTION("""COMPUTED_VALUE"""),0)</f>
        <v>0</v>
      </c>
      <c r="F3624" s="77"/>
      <c r="G3624" s="77"/>
    </row>
    <row r="3625" spans="1:7" ht="12.75" x14ac:dyDescent="0.2">
      <c r="A3625" s="78"/>
      <c r="B3625" s="78"/>
      <c r="C3625" s="78"/>
      <c r="D3625" s="78"/>
      <c r="E3625" s="80">
        <f ca="1">IFERROR(__xludf.DUMMYFUNCTION("""COMPUTED_VALUE"""),0)</f>
        <v>0</v>
      </c>
      <c r="F3625" s="77"/>
      <c r="G3625" s="77"/>
    </row>
    <row r="3626" spans="1:7" ht="12.75" x14ac:dyDescent="0.2">
      <c r="A3626" s="78"/>
      <c r="B3626" s="78"/>
      <c r="C3626" s="78"/>
      <c r="D3626" s="78"/>
      <c r="E3626" s="80">
        <f ca="1">IFERROR(__xludf.DUMMYFUNCTION("""COMPUTED_VALUE"""),0)</f>
        <v>0</v>
      </c>
      <c r="F3626" s="77"/>
      <c r="G3626" s="77"/>
    </row>
    <row r="3627" spans="1:7" ht="12.75" x14ac:dyDescent="0.2">
      <c r="A3627" s="78"/>
      <c r="B3627" s="78"/>
      <c r="C3627" s="78"/>
      <c r="D3627" s="78"/>
      <c r="E3627" s="80">
        <f ca="1">IFERROR(__xludf.DUMMYFUNCTION("""COMPUTED_VALUE"""),0)</f>
        <v>0</v>
      </c>
      <c r="F3627" s="77"/>
      <c r="G3627" s="77"/>
    </row>
    <row r="3628" spans="1:7" ht="12.75" x14ac:dyDescent="0.2">
      <c r="A3628" s="78"/>
      <c r="B3628" s="78"/>
      <c r="C3628" s="78"/>
      <c r="D3628" s="78"/>
      <c r="E3628" s="80">
        <f ca="1">IFERROR(__xludf.DUMMYFUNCTION("""COMPUTED_VALUE"""),0)</f>
        <v>0</v>
      </c>
      <c r="F3628" s="77"/>
      <c r="G3628" s="77"/>
    </row>
    <row r="3629" spans="1:7" ht="12.75" x14ac:dyDescent="0.2">
      <c r="A3629" s="78"/>
      <c r="B3629" s="78"/>
      <c r="C3629" s="78"/>
      <c r="D3629" s="78"/>
      <c r="E3629" s="80">
        <f ca="1">IFERROR(__xludf.DUMMYFUNCTION("""COMPUTED_VALUE"""),0)</f>
        <v>0</v>
      </c>
      <c r="F3629" s="77"/>
      <c r="G3629" s="77"/>
    </row>
    <row r="3630" spans="1:7" ht="12.75" x14ac:dyDescent="0.2">
      <c r="A3630" s="78"/>
      <c r="B3630" s="78"/>
      <c r="C3630" s="78"/>
      <c r="D3630" s="78"/>
      <c r="E3630" s="80">
        <f ca="1">IFERROR(__xludf.DUMMYFUNCTION("""COMPUTED_VALUE"""),0)</f>
        <v>0</v>
      </c>
      <c r="F3630" s="77"/>
      <c r="G3630" s="77"/>
    </row>
    <row r="3631" spans="1:7" ht="12.75" x14ac:dyDescent="0.2">
      <c r="A3631" s="78"/>
      <c r="B3631" s="78"/>
      <c r="C3631" s="78"/>
      <c r="D3631" s="78"/>
      <c r="E3631" s="80">
        <f ca="1">IFERROR(__xludf.DUMMYFUNCTION("""COMPUTED_VALUE"""),0)</f>
        <v>0</v>
      </c>
      <c r="F3631" s="77"/>
      <c r="G3631" s="77"/>
    </row>
    <row r="3632" spans="1:7" ht="12.75" x14ac:dyDescent="0.2">
      <c r="A3632" s="78"/>
      <c r="B3632" s="78"/>
      <c r="C3632" s="78"/>
      <c r="D3632" s="78"/>
      <c r="E3632" s="80">
        <f ca="1">IFERROR(__xludf.DUMMYFUNCTION("""COMPUTED_VALUE"""),0)</f>
        <v>0</v>
      </c>
      <c r="F3632" s="77"/>
      <c r="G3632" s="77"/>
    </row>
    <row r="3633" spans="1:7" ht="12.75" x14ac:dyDescent="0.2">
      <c r="A3633" s="78"/>
      <c r="B3633" s="78"/>
      <c r="C3633" s="78"/>
      <c r="D3633" s="78"/>
      <c r="E3633" s="80">
        <f ca="1">IFERROR(__xludf.DUMMYFUNCTION("""COMPUTED_VALUE"""),0)</f>
        <v>0</v>
      </c>
      <c r="F3633" s="77"/>
      <c r="G3633" s="77"/>
    </row>
    <row r="3634" spans="1:7" ht="12.75" x14ac:dyDescent="0.2">
      <c r="A3634" s="78"/>
      <c r="B3634" s="78"/>
      <c r="C3634" s="78"/>
      <c r="D3634" s="78"/>
      <c r="E3634" s="80">
        <f ca="1">IFERROR(__xludf.DUMMYFUNCTION("""COMPUTED_VALUE"""),0)</f>
        <v>0</v>
      </c>
      <c r="F3634" s="77"/>
      <c r="G3634" s="77"/>
    </row>
    <row r="3635" spans="1:7" ht="12.75" x14ac:dyDescent="0.2">
      <c r="A3635" s="78"/>
      <c r="B3635" s="78"/>
      <c r="C3635" s="78"/>
      <c r="D3635" s="78"/>
      <c r="E3635" s="80">
        <f ca="1">IFERROR(__xludf.DUMMYFUNCTION("""COMPUTED_VALUE"""),0)</f>
        <v>0</v>
      </c>
      <c r="F3635" s="77"/>
      <c r="G3635" s="77"/>
    </row>
    <row r="3636" spans="1:7" ht="12.75" x14ac:dyDescent="0.2">
      <c r="A3636" s="78"/>
      <c r="B3636" s="78"/>
      <c r="C3636" s="78"/>
      <c r="D3636" s="78"/>
      <c r="E3636" s="80">
        <f ca="1">IFERROR(__xludf.DUMMYFUNCTION("""COMPUTED_VALUE"""),0)</f>
        <v>0</v>
      </c>
      <c r="F3636" s="77"/>
      <c r="G3636" s="77"/>
    </row>
    <row r="3637" spans="1:7" ht="12.75" x14ac:dyDescent="0.2">
      <c r="A3637" s="78"/>
      <c r="B3637" s="78"/>
      <c r="C3637" s="78"/>
      <c r="D3637" s="78"/>
      <c r="E3637" s="80">
        <f ca="1">IFERROR(__xludf.DUMMYFUNCTION("""COMPUTED_VALUE"""),0)</f>
        <v>0</v>
      </c>
      <c r="F3637" s="77"/>
      <c r="G3637" s="77"/>
    </row>
    <row r="3638" spans="1:7" ht="12.75" x14ac:dyDescent="0.2">
      <c r="A3638" s="78"/>
      <c r="B3638" s="78"/>
      <c r="C3638" s="78"/>
      <c r="D3638" s="78"/>
      <c r="E3638" s="80">
        <f ca="1">IFERROR(__xludf.DUMMYFUNCTION("""COMPUTED_VALUE"""),0)</f>
        <v>0</v>
      </c>
      <c r="F3638" s="77"/>
      <c r="G3638" s="77"/>
    </row>
    <row r="3639" spans="1:7" ht="12.75" x14ac:dyDescent="0.2">
      <c r="A3639" s="78"/>
      <c r="B3639" s="78"/>
      <c r="C3639" s="78"/>
      <c r="D3639" s="78"/>
      <c r="E3639" s="80">
        <f ca="1">IFERROR(__xludf.DUMMYFUNCTION("""COMPUTED_VALUE"""),0)</f>
        <v>0</v>
      </c>
      <c r="F3639" s="77"/>
      <c r="G3639" s="77"/>
    </row>
    <row r="3640" spans="1:7" ht="12.75" x14ac:dyDescent="0.2">
      <c r="A3640" s="78"/>
      <c r="B3640" s="78"/>
      <c r="C3640" s="78"/>
      <c r="D3640" s="78"/>
      <c r="E3640" s="80">
        <f ca="1">IFERROR(__xludf.DUMMYFUNCTION("""COMPUTED_VALUE"""),0)</f>
        <v>0</v>
      </c>
      <c r="F3640" s="77"/>
      <c r="G3640" s="77"/>
    </row>
    <row r="3641" spans="1:7" ht="12.75" x14ac:dyDescent="0.2">
      <c r="A3641" s="78"/>
      <c r="B3641" s="78"/>
      <c r="C3641" s="78"/>
      <c r="D3641" s="78"/>
      <c r="E3641" s="80">
        <f ca="1">IFERROR(__xludf.DUMMYFUNCTION("""COMPUTED_VALUE"""),0)</f>
        <v>0</v>
      </c>
      <c r="F3641" s="77"/>
      <c r="G3641" s="77"/>
    </row>
    <row r="3642" spans="1:7" ht="12.75" x14ac:dyDescent="0.2">
      <c r="A3642" s="78"/>
      <c r="B3642" s="78"/>
      <c r="C3642" s="78"/>
      <c r="D3642" s="78"/>
      <c r="E3642" s="80">
        <f ca="1">IFERROR(__xludf.DUMMYFUNCTION("""COMPUTED_VALUE"""),0)</f>
        <v>0</v>
      </c>
      <c r="F3642" s="77"/>
      <c r="G3642" s="77"/>
    </row>
    <row r="3643" spans="1:7" ht="12.75" x14ac:dyDescent="0.2">
      <c r="A3643" s="78"/>
      <c r="B3643" s="78"/>
      <c r="C3643" s="78"/>
      <c r="D3643" s="78"/>
      <c r="E3643" s="80">
        <f ca="1">IFERROR(__xludf.DUMMYFUNCTION("""COMPUTED_VALUE"""),0)</f>
        <v>0</v>
      </c>
      <c r="F3643" s="77"/>
      <c r="G3643" s="77"/>
    </row>
    <row r="3644" spans="1:7" ht="12.75" x14ac:dyDescent="0.2">
      <c r="A3644" s="78"/>
      <c r="B3644" s="78"/>
      <c r="C3644" s="78"/>
      <c r="D3644" s="78"/>
      <c r="E3644" s="80">
        <f ca="1">IFERROR(__xludf.DUMMYFUNCTION("""COMPUTED_VALUE"""),0)</f>
        <v>0</v>
      </c>
      <c r="F3644" s="77"/>
      <c r="G3644" s="77"/>
    </row>
    <row r="3645" spans="1:7" ht="12.75" x14ac:dyDescent="0.2">
      <c r="A3645" s="78"/>
      <c r="B3645" s="78"/>
      <c r="C3645" s="78"/>
      <c r="D3645" s="78"/>
      <c r="E3645" s="80">
        <f ca="1">IFERROR(__xludf.DUMMYFUNCTION("""COMPUTED_VALUE"""),0)</f>
        <v>0</v>
      </c>
      <c r="F3645" s="77"/>
      <c r="G3645" s="77"/>
    </row>
    <row r="3646" spans="1:7" ht="12.75" x14ac:dyDescent="0.2">
      <c r="A3646" s="78"/>
      <c r="B3646" s="78"/>
      <c r="C3646" s="78"/>
      <c r="D3646" s="78"/>
      <c r="E3646" s="80">
        <f ca="1">IFERROR(__xludf.DUMMYFUNCTION("""COMPUTED_VALUE"""),0)</f>
        <v>0</v>
      </c>
      <c r="F3646" s="77"/>
      <c r="G3646" s="77"/>
    </row>
    <row r="3647" spans="1:7" ht="12.75" x14ac:dyDescent="0.2">
      <c r="A3647" s="78"/>
      <c r="B3647" s="78"/>
      <c r="C3647" s="78"/>
      <c r="D3647" s="78"/>
      <c r="E3647" s="80">
        <f ca="1">IFERROR(__xludf.DUMMYFUNCTION("""COMPUTED_VALUE"""),0)</f>
        <v>0</v>
      </c>
      <c r="F3647" s="77"/>
      <c r="G3647" s="77"/>
    </row>
    <row r="3648" spans="1:7" ht="12.75" x14ac:dyDescent="0.2">
      <c r="A3648" s="78"/>
      <c r="B3648" s="78"/>
      <c r="C3648" s="78"/>
      <c r="D3648" s="78"/>
      <c r="E3648" s="80">
        <f ca="1">IFERROR(__xludf.DUMMYFUNCTION("""COMPUTED_VALUE"""),0)</f>
        <v>0</v>
      </c>
      <c r="F3648" s="77"/>
      <c r="G3648" s="77"/>
    </row>
    <row r="3649" spans="1:7" ht="12.75" x14ac:dyDescent="0.2">
      <c r="A3649" s="78"/>
      <c r="B3649" s="78"/>
      <c r="C3649" s="78"/>
      <c r="D3649" s="78"/>
      <c r="E3649" s="80">
        <f ca="1">IFERROR(__xludf.DUMMYFUNCTION("""COMPUTED_VALUE"""),0)</f>
        <v>0</v>
      </c>
      <c r="F3649" s="77"/>
      <c r="G3649" s="77"/>
    </row>
    <row r="3650" spans="1:7" ht="12.75" x14ac:dyDescent="0.2">
      <c r="A3650" s="78"/>
      <c r="B3650" s="78"/>
      <c r="C3650" s="78"/>
      <c r="D3650" s="78"/>
      <c r="E3650" s="80">
        <f ca="1">IFERROR(__xludf.DUMMYFUNCTION("""COMPUTED_VALUE"""),0)</f>
        <v>0</v>
      </c>
      <c r="F3650" s="77"/>
      <c r="G3650" s="77"/>
    </row>
    <row r="3651" spans="1:7" ht="12.75" x14ac:dyDescent="0.2">
      <c r="A3651" s="78"/>
      <c r="B3651" s="78"/>
      <c r="C3651" s="78"/>
      <c r="D3651" s="78"/>
      <c r="E3651" s="80">
        <f ca="1">IFERROR(__xludf.DUMMYFUNCTION("""COMPUTED_VALUE"""),0)</f>
        <v>0</v>
      </c>
      <c r="F3651" s="77"/>
      <c r="G3651" s="77"/>
    </row>
    <row r="3652" spans="1:7" ht="12.75" x14ac:dyDescent="0.2">
      <c r="A3652" s="78"/>
      <c r="B3652" s="78"/>
      <c r="C3652" s="78"/>
      <c r="D3652" s="78"/>
      <c r="E3652" s="80">
        <f ca="1">IFERROR(__xludf.DUMMYFUNCTION("""COMPUTED_VALUE"""),0)</f>
        <v>0</v>
      </c>
      <c r="F3652" s="77"/>
      <c r="G3652" s="77"/>
    </row>
    <row r="3653" spans="1:7" ht="12.75" x14ac:dyDescent="0.2">
      <c r="A3653" s="78"/>
      <c r="B3653" s="78"/>
      <c r="C3653" s="78"/>
      <c r="D3653" s="78"/>
      <c r="E3653" s="80">
        <f ca="1">IFERROR(__xludf.DUMMYFUNCTION("""COMPUTED_VALUE"""),0)</f>
        <v>0</v>
      </c>
      <c r="F3653" s="77"/>
      <c r="G3653" s="77"/>
    </row>
    <row r="3654" spans="1:7" ht="12.75" x14ac:dyDescent="0.2">
      <c r="A3654" s="78"/>
      <c r="B3654" s="78"/>
      <c r="C3654" s="78"/>
      <c r="D3654" s="78"/>
      <c r="E3654" s="80">
        <f ca="1">IFERROR(__xludf.DUMMYFUNCTION("""COMPUTED_VALUE"""),0)</f>
        <v>0</v>
      </c>
      <c r="F3654" s="77"/>
      <c r="G3654" s="77"/>
    </row>
    <row r="3655" spans="1:7" ht="12.75" x14ac:dyDescent="0.2">
      <c r="A3655" s="78"/>
      <c r="B3655" s="78"/>
      <c r="C3655" s="78"/>
      <c r="D3655" s="78"/>
      <c r="E3655" s="80">
        <f ca="1">IFERROR(__xludf.DUMMYFUNCTION("""COMPUTED_VALUE"""),0)</f>
        <v>0</v>
      </c>
      <c r="F3655" s="77"/>
      <c r="G3655" s="77"/>
    </row>
    <row r="3656" spans="1:7" ht="12.75" x14ac:dyDescent="0.2">
      <c r="A3656" s="78"/>
      <c r="B3656" s="78"/>
      <c r="C3656" s="78"/>
      <c r="D3656" s="78"/>
      <c r="E3656" s="80">
        <f ca="1">IFERROR(__xludf.DUMMYFUNCTION("""COMPUTED_VALUE"""),0)</f>
        <v>0</v>
      </c>
      <c r="F3656" s="77"/>
      <c r="G3656" s="77"/>
    </row>
    <row r="3657" spans="1:7" ht="12.75" x14ac:dyDescent="0.2">
      <c r="A3657" s="78"/>
      <c r="B3657" s="78"/>
      <c r="C3657" s="78"/>
      <c r="D3657" s="78"/>
      <c r="E3657" s="80">
        <f ca="1">IFERROR(__xludf.DUMMYFUNCTION("""COMPUTED_VALUE"""),0)</f>
        <v>0</v>
      </c>
      <c r="F3657" s="77"/>
      <c r="G3657" s="77"/>
    </row>
    <row r="3658" spans="1:7" ht="12.75" x14ac:dyDescent="0.2">
      <c r="A3658" s="78"/>
      <c r="B3658" s="78"/>
      <c r="C3658" s="78"/>
      <c r="D3658" s="78"/>
      <c r="E3658" s="80">
        <f ca="1">IFERROR(__xludf.DUMMYFUNCTION("""COMPUTED_VALUE"""),0)</f>
        <v>0</v>
      </c>
      <c r="F3658" s="77"/>
      <c r="G3658" s="77"/>
    </row>
    <row r="3659" spans="1:7" ht="12.75" x14ac:dyDescent="0.2">
      <c r="A3659" s="78"/>
      <c r="B3659" s="78"/>
      <c r="C3659" s="78"/>
      <c r="D3659" s="78"/>
      <c r="E3659" s="80">
        <f ca="1">IFERROR(__xludf.DUMMYFUNCTION("""COMPUTED_VALUE"""),0)</f>
        <v>0</v>
      </c>
      <c r="F3659" s="77"/>
      <c r="G3659" s="77"/>
    </row>
    <row r="3660" spans="1:7" ht="12.75" x14ac:dyDescent="0.2">
      <c r="A3660" s="78"/>
      <c r="B3660" s="78"/>
      <c r="C3660" s="78"/>
      <c r="D3660" s="78"/>
      <c r="E3660" s="80">
        <f ca="1">IFERROR(__xludf.DUMMYFUNCTION("""COMPUTED_VALUE"""),0)</f>
        <v>0</v>
      </c>
      <c r="F3660" s="77"/>
      <c r="G3660" s="77"/>
    </row>
    <row r="3661" spans="1:7" ht="12.75" x14ac:dyDescent="0.2">
      <c r="A3661" s="78"/>
      <c r="B3661" s="78"/>
      <c r="C3661" s="78"/>
      <c r="D3661" s="78"/>
      <c r="E3661" s="80">
        <f ca="1">IFERROR(__xludf.DUMMYFUNCTION("""COMPUTED_VALUE"""),0)</f>
        <v>0</v>
      </c>
      <c r="F3661" s="77"/>
      <c r="G3661" s="77"/>
    </row>
    <row r="3662" spans="1:7" ht="12.75" x14ac:dyDescent="0.2">
      <c r="A3662" s="78"/>
      <c r="B3662" s="78"/>
      <c r="C3662" s="78"/>
      <c r="D3662" s="78"/>
      <c r="E3662" s="80">
        <f ca="1">IFERROR(__xludf.DUMMYFUNCTION("""COMPUTED_VALUE"""),0)</f>
        <v>0</v>
      </c>
      <c r="F3662" s="77"/>
      <c r="G3662" s="77"/>
    </row>
    <row r="3663" spans="1:7" ht="12.75" x14ac:dyDescent="0.2">
      <c r="A3663" s="78"/>
      <c r="B3663" s="78"/>
      <c r="C3663" s="78"/>
      <c r="D3663" s="78"/>
      <c r="E3663" s="80">
        <f ca="1">IFERROR(__xludf.DUMMYFUNCTION("""COMPUTED_VALUE"""),0)</f>
        <v>0</v>
      </c>
      <c r="F3663" s="77"/>
      <c r="G3663" s="77"/>
    </row>
    <row r="3664" spans="1:7" ht="12.75" x14ac:dyDescent="0.2">
      <c r="A3664" s="78"/>
      <c r="B3664" s="78"/>
      <c r="C3664" s="78"/>
      <c r="D3664" s="78"/>
      <c r="E3664" s="80">
        <f ca="1">IFERROR(__xludf.DUMMYFUNCTION("""COMPUTED_VALUE"""),0)</f>
        <v>0</v>
      </c>
      <c r="F3664" s="77"/>
      <c r="G3664" s="77"/>
    </row>
    <row r="3665" spans="1:7" ht="12.75" x14ac:dyDescent="0.2">
      <c r="A3665" s="78"/>
      <c r="B3665" s="78"/>
      <c r="C3665" s="78"/>
      <c r="D3665" s="78"/>
      <c r="E3665" s="80">
        <f ca="1">IFERROR(__xludf.DUMMYFUNCTION("""COMPUTED_VALUE"""),0)</f>
        <v>0</v>
      </c>
      <c r="F3665" s="77"/>
      <c r="G3665" s="77"/>
    </row>
    <row r="3666" spans="1:7" ht="12.75" x14ac:dyDescent="0.2">
      <c r="A3666" s="78"/>
      <c r="B3666" s="78"/>
      <c r="C3666" s="78"/>
      <c r="D3666" s="78"/>
      <c r="E3666" s="80">
        <f ca="1">IFERROR(__xludf.DUMMYFUNCTION("""COMPUTED_VALUE"""),0)</f>
        <v>0</v>
      </c>
      <c r="F3666" s="77"/>
      <c r="G3666" s="77"/>
    </row>
    <row r="3667" spans="1:7" ht="12.75" x14ac:dyDescent="0.2">
      <c r="A3667" s="78"/>
      <c r="B3667" s="78"/>
      <c r="C3667" s="78"/>
      <c r="D3667" s="78"/>
      <c r="E3667" s="80">
        <f ca="1">IFERROR(__xludf.DUMMYFUNCTION("""COMPUTED_VALUE"""),0)</f>
        <v>0</v>
      </c>
      <c r="F3667" s="77"/>
      <c r="G3667" s="77"/>
    </row>
    <row r="3668" spans="1:7" ht="12.75" x14ac:dyDescent="0.2">
      <c r="A3668" s="78"/>
      <c r="B3668" s="78"/>
      <c r="C3668" s="78"/>
      <c r="D3668" s="78"/>
      <c r="E3668" s="80">
        <f ca="1">IFERROR(__xludf.DUMMYFUNCTION("""COMPUTED_VALUE"""),0)</f>
        <v>0</v>
      </c>
      <c r="F3668" s="77"/>
      <c r="G3668" s="77"/>
    </row>
    <row r="3669" spans="1:7" ht="12.75" x14ac:dyDescent="0.2">
      <c r="A3669" s="78"/>
      <c r="B3669" s="78"/>
      <c r="C3669" s="78"/>
      <c r="D3669" s="78"/>
      <c r="E3669" s="80">
        <f ca="1">IFERROR(__xludf.DUMMYFUNCTION("""COMPUTED_VALUE"""),0)</f>
        <v>0</v>
      </c>
      <c r="F3669" s="77"/>
      <c r="G3669" s="77"/>
    </row>
    <row r="3670" spans="1:7" ht="12.75" x14ac:dyDescent="0.2">
      <c r="A3670" s="78"/>
      <c r="B3670" s="78"/>
      <c r="C3670" s="78"/>
      <c r="D3670" s="78"/>
      <c r="E3670" s="80">
        <f ca="1">IFERROR(__xludf.DUMMYFUNCTION("""COMPUTED_VALUE"""),0)</f>
        <v>0</v>
      </c>
      <c r="F3670" s="77"/>
      <c r="G3670" s="77"/>
    </row>
    <row r="3671" spans="1:7" ht="12.75" x14ac:dyDescent="0.2">
      <c r="A3671" s="78"/>
      <c r="B3671" s="78"/>
      <c r="C3671" s="78"/>
      <c r="D3671" s="78"/>
      <c r="E3671" s="80">
        <f ca="1">IFERROR(__xludf.DUMMYFUNCTION("""COMPUTED_VALUE"""),0)</f>
        <v>0</v>
      </c>
      <c r="F3671" s="77"/>
      <c r="G3671" s="77"/>
    </row>
    <row r="3672" spans="1:7" ht="12.75" x14ac:dyDescent="0.2">
      <c r="A3672" s="78"/>
      <c r="B3672" s="78"/>
      <c r="C3672" s="78"/>
      <c r="D3672" s="78"/>
      <c r="E3672" s="80">
        <f ca="1">IFERROR(__xludf.DUMMYFUNCTION("""COMPUTED_VALUE"""),0)</f>
        <v>0</v>
      </c>
      <c r="F3672" s="77"/>
      <c r="G3672" s="77"/>
    </row>
    <row r="3673" spans="1:7" ht="12.75" x14ac:dyDescent="0.2">
      <c r="A3673" s="78"/>
      <c r="B3673" s="78"/>
      <c r="C3673" s="78"/>
      <c r="D3673" s="78"/>
      <c r="E3673" s="80">
        <f ca="1">IFERROR(__xludf.DUMMYFUNCTION("""COMPUTED_VALUE"""),0)</f>
        <v>0</v>
      </c>
      <c r="F3673" s="77"/>
      <c r="G3673" s="77"/>
    </row>
    <row r="3674" spans="1:7" ht="12.75" x14ac:dyDescent="0.2">
      <c r="A3674" s="78"/>
      <c r="B3674" s="78"/>
      <c r="C3674" s="78"/>
      <c r="D3674" s="78"/>
      <c r="E3674" s="80">
        <f ca="1">IFERROR(__xludf.DUMMYFUNCTION("""COMPUTED_VALUE"""),0)</f>
        <v>0</v>
      </c>
      <c r="F3674" s="77"/>
      <c r="G3674" s="77"/>
    </row>
    <row r="3675" spans="1:7" ht="12.75" x14ac:dyDescent="0.2">
      <c r="A3675" s="78"/>
      <c r="B3675" s="78"/>
      <c r="C3675" s="78"/>
      <c r="D3675" s="78"/>
      <c r="E3675" s="80">
        <f ca="1">IFERROR(__xludf.DUMMYFUNCTION("""COMPUTED_VALUE"""),0)</f>
        <v>0</v>
      </c>
      <c r="F3675" s="77"/>
      <c r="G3675" s="77"/>
    </row>
    <row r="3676" spans="1:7" ht="12.75" x14ac:dyDescent="0.2">
      <c r="A3676" s="78"/>
      <c r="B3676" s="78"/>
      <c r="C3676" s="78"/>
      <c r="D3676" s="78"/>
      <c r="E3676" s="80">
        <f ca="1">IFERROR(__xludf.DUMMYFUNCTION("""COMPUTED_VALUE"""),0)</f>
        <v>0</v>
      </c>
      <c r="F3676" s="77"/>
      <c r="G3676" s="77"/>
    </row>
    <row r="3677" spans="1:7" ht="12.75" x14ac:dyDescent="0.2">
      <c r="A3677" s="78"/>
      <c r="B3677" s="78"/>
      <c r="C3677" s="78"/>
      <c r="D3677" s="78"/>
      <c r="E3677" s="80">
        <f ca="1">IFERROR(__xludf.DUMMYFUNCTION("""COMPUTED_VALUE"""),0)</f>
        <v>0</v>
      </c>
      <c r="F3677" s="77"/>
      <c r="G3677" s="77"/>
    </row>
    <row r="3678" spans="1:7" ht="12.75" x14ac:dyDescent="0.2">
      <c r="A3678" s="78"/>
      <c r="B3678" s="78"/>
      <c r="C3678" s="78"/>
      <c r="D3678" s="78"/>
      <c r="E3678" s="80">
        <f ca="1">IFERROR(__xludf.DUMMYFUNCTION("""COMPUTED_VALUE"""),0)</f>
        <v>0</v>
      </c>
      <c r="F3678" s="77"/>
      <c r="G3678" s="77"/>
    </row>
    <row r="3679" spans="1:7" ht="12.75" x14ac:dyDescent="0.2">
      <c r="A3679" s="78"/>
      <c r="B3679" s="78"/>
      <c r="C3679" s="78"/>
      <c r="D3679" s="78"/>
      <c r="E3679" s="80">
        <f ca="1">IFERROR(__xludf.DUMMYFUNCTION("""COMPUTED_VALUE"""),0)</f>
        <v>0</v>
      </c>
      <c r="F3679" s="77"/>
      <c r="G3679" s="77"/>
    </row>
    <row r="3680" spans="1:7" ht="12.75" x14ac:dyDescent="0.2">
      <c r="A3680" s="78"/>
      <c r="B3680" s="78"/>
      <c r="C3680" s="78"/>
      <c r="D3680" s="78"/>
      <c r="E3680" s="80">
        <f ca="1">IFERROR(__xludf.DUMMYFUNCTION("""COMPUTED_VALUE"""),0)</f>
        <v>0</v>
      </c>
      <c r="F3680" s="77"/>
      <c r="G3680" s="77"/>
    </row>
    <row r="3681" spans="1:7" ht="12.75" x14ac:dyDescent="0.2">
      <c r="A3681" s="78"/>
      <c r="B3681" s="78"/>
      <c r="C3681" s="78"/>
      <c r="D3681" s="78"/>
      <c r="E3681" s="80">
        <f ca="1">IFERROR(__xludf.DUMMYFUNCTION("""COMPUTED_VALUE"""),0)</f>
        <v>0</v>
      </c>
      <c r="F3681" s="77"/>
      <c r="G3681" s="77"/>
    </row>
    <row r="3682" spans="1:7" ht="12.75" x14ac:dyDescent="0.2">
      <c r="A3682" s="78"/>
      <c r="B3682" s="78"/>
      <c r="C3682" s="78"/>
      <c r="D3682" s="78"/>
      <c r="E3682" s="80">
        <f ca="1">IFERROR(__xludf.DUMMYFUNCTION("""COMPUTED_VALUE"""),0)</f>
        <v>0</v>
      </c>
      <c r="F3682" s="77"/>
      <c r="G3682" s="77"/>
    </row>
    <row r="3683" spans="1:7" ht="12.75" x14ac:dyDescent="0.2">
      <c r="A3683" s="78"/>
      <c r="B3683" s="78"/>
      <c r="C3683" s="78"/>
      <c r="D3683" s="78"/>
      <c r="E3683" s="80">
        <f ca="1">IFERROR(__xludf.DUMMYFUNCTION("""COMPUTED_VALUE"""),0)</f>
        <v>0</v>
      </c>
      <c r="F3683" s="77"/>
      <c r="G3683" s="77"/>
    </row>
    <row r="3684" spans="1:7" ht="12.75" x14ac:dyDescent="0.2">
      <c r="A3684" s="78"/>
      <c r="B3684" s="78"/>
      <c r="C3684" s="78"/>
      <c r="D3684" s="78"/>
      <c r="E3684" s="80">
        <f ca="1">IFERROR(__xludf.DUMMYFUNCTION("""COMPUTED_VALUE"""),0)</f>
        <v>0</v>
      </c>
      <c r="F3684" s="77"/>
      <c r="G3684" s="77"/>
    </row>
    <row r="3685" spans="1:7" ht="12.75" x14ac:dyDescent="0.2">
      <c r="A3685" s="78"/>
      <c r="B3685" s="78"/>
      <c r="C3685" s="78"/>
      <c r="D3685" s="78"/>
      <c r="E3685" s="80">
        <f ca="1">IFERROR(__xludf.DUMMYFUNCTION("""COMPUTED_VALUE"""),0)</f>
        <v>0</v>
      </c>
      <c r="F3685" s="77"/>
      <c r="G3685" s="77"/>
    </row>
    <row r="3686" spans="1:7" ht="12.75" x14ac:dyDescent="0.2">
      <c r="A3686" s="78"/>
      <c r="B3686" s="78"/>
      <c r="C3686" s="78"/>
      <c r="D3686" s="78"/>
      <c r="E3686" s="80">
        <f ca="1">IFERROR(__xludf.DUMMYFUNCTION("""COMPUTED_VALUE"""),0)</f>
        <v>0</v>
      </c>
      <c r="F3686" s="77"/>
      <c r="G3686" s="77"/>
    </row>
    <row r="3687" spans="1:7" ht="12.75" x14ac:dyDescent="0.2">
      <c r="A3687" s="78"/>
      <c r="B3687" s="78"/>
      <c r="C3687" s="78"/>
      <c r="D3687" s="78"/>
      <c r="E3687" s="80">
        <f ca="1">IFERROR(__xludf.DUMMYFUNCTION("""COMPUTED_VALUE"""),0)</f>
        <v>0</v>
      </c>
      <c r="F3687" s="77"/>
      <c r="G3687" s="77"/>
    </row>
    <row r="3688" spans="1:7" ht="12.75" x14ac:dyDescent="0.2">
      <c r="A3688" s="78"/>
      <c r="B3688" s="78"/>
      <c r="C3688" s="78"/>
      <c r="D3688" s="78"/>
      <c r="E3688" s="80">
        <f ca="1">IFERROR(__xludf.DUMMYFUNCTION("""COMPUTED_VALUE"""),0)</f>
        <v>0</v>
      </c>
      <c r="F3688" s="77"/>
      <c r="G3688" s="77"/>
    </row>
    <row r="3689" spans="1:7" ht="12.75" x14ac:dyDescent="0.2">
      <c r="A3689" s="78"/>
      <c r="B3689" s="78"/>
      <c r="C3689" s="78"/>
      <c r="D3689" s="78"/>
      <c r="E3689" s="80">
        <f ca="1">IFERROR(__xludf.DUMMYFUNCTION("""COMPUTED_VALUE"""),0)</f>
        <v>0</v>
      </c>
      <c r="F3689" s="77"/>
      <c r="G3689" s="77"/>
    </row>
    <row r="3690" spans="1:7" ht="12.75" x14ac:dyDescent="0.2">
      <c r="A3690" s="78"/>
      <c r="B3690" s="78"/>
      <c r="C3690" s="78"/>
      <c r="D3690" s="78"/>
      <c r="E3690" s="80">
        <f ca="1">IFERROR(__xludf.DUMMYFUNCTION("""COMPUTED_VALUE"""),0)</f>
        <v>0</v>
      </c>
      <c r="F3690" s="77"/>
      <c r="G3690" s="77"/>
    </row>
    <row r="3691" spans="1:7" ht="12.75" x14ac:dyDescent="0.2">
      <c r="A3691" s="78"/>
      <c r="B3691" s="78"/>
      <c r="C3691" s="78"/>
      <c r="D3691" s="78"/>
      <c r="E3691" s="80">
        <f ca="1">IFERROR(__xludf.DUMMYFUNCTION("""COMPUTED_VALUE"""),0)</f>
        <v>0</v>
      </c>
      <c r="F3691" s="77"/>
      <c r="G3691" s="77"/>
    </row>
    <row r="3692" spans="1:7" ht="12.75" x14ac:dyDescent="0.2">
      <c r="A3692" s="78"/>
      <c r="B3692" s="78"/>
      <c r="C3692" s="78"/>
      <c r="D3692" s="78"/>
      <c r="E3692" s="80">
        <f ca="1">IFERROR(__xludf.DUMMYFUNCTION("""COMPUTED_VALUE"""),0)</f>
        <v>0</v>
      </c>
      <c r="F3692" s="77"/>
      <c r="G3692" s="77"/>
    </row>
    <row r="3693" spans="1:7" ht="12.75" x14ac:dyDescent="0.2">
      <c r="A3693" s="78"/>
      <c r="B3693" s="78"/>
      <c r="C3693" s="78"/>
      <c r="D3693" s="78"/>
      <c r="E3693" s="80">
        <f ca="1">IFERROR(__xludf.DUMMYFUNCTION("""COMPUTED_VALUE"""),0)</f>
        <v>0</v>
      </c>
      <c r="F3693" s="77"/>
      <c r="G3693" s="77"/>
    </row>
    <row r="3694" spans="1:7" ht="12.75" x14ac:dyDescent="0.2">
      <c r="A3694" s="78"/>
      <c r="B3694" s="78"/>
      <c r="C3694" s="78"/>
      <c r="D3694" s="78"/>
      <c r="E3694" s="80">
        <f ca="1">IFERROR(__xludf.DUMMYFUNCTION("""COMPUTED_VALUE"""),0)</f>
        <v>0</v>
      </c>
      <c r="F3694" s="77"/>
      <c r="G3694" s="77"/>
    </row>
    <row r="3695" spans="1:7" ht="12.75" x14ac:dyDescent="0.2">
      <c r="A3695" s="78"/>
      <c r="B3695" s="78"/>
      <c r="C3695" s="78"/>
      <c r="D3695" s="78"/>
      <c r="E3695" s="80">
        <f ca="1">IFERROR(__xludf.DUMMYFUNCTION("""COMPUTED_VALUE"""),0)</f>
        <v>0</v>
      </c>
      <c r="F3695" s="77"/>
      <c r="G3695" s="77"/>
    </row>
    <row r="3696" spans="1:7" ht="12.75" x14ac:dyDescent="0.2">
      <c r="A3696" s="78"/>
      <c r="B3696" s="78"/>
      <c r="C3696" s="78"/>
      <c r="D3696" s="78"/>
      <c r="E3696" s="80">
        <f ca="1">IFERROR(__xludf.DUMMYFUNCTION("""COMPUTED_VALUE"""),0)</f>
        <v>0</v>
      </c>
      <c r="F3696" s="77"/>
      <c r="G3696" s="77"/>
    </row>
    <row r="3697" spans="1:7" ht="12.75" x14ac:dyDescent="0.2">
      <c r="A3697" s="78"/>
      <c r="B3697" s="78"/>
      <c r="C3697" s="78"/>
      <c r="D3697" s="78"/>
      <c r="E3697" s="80">
        <f ca="1">IFERROR(__xludf.DUMMYFUNCTION("""COMPUTED_VALUE"""),0)</f>
        <v>0</v>
      </c>
      <c r="F3697" s="77"/>
      <c r="G3697" s="77"/>
    </row>
    <row r="3698" spans="1:7" ht="12.75" x14ac:dyDescent="0.2">
      <c r="A3698" s="78"/>
      <c r="B3698" s="78"/>
      <c r="C3698" s="78"/>
      <c r="D3698" s="78"/>
      <c r="E3698" s="80">
        <f ca="1">IFERROR(__xludf.DUMMYFUNCTION("""COMPUTED_VALUE"""),0)</f>
        <v>0</v>
      </c>
      <c r="F3698" s="77"/>
      <c r="G3698" s="77"/>
    </row>
    <row r="3699" spans="1:7" ht="12.75" x14ac:dyDescent="0.2">
      <c r="A3699" s="78"/>
      <c r="B3699" s="78"/>
      <c r="C3699" s="78"/>
      <c r="D3699" s="78"/>
      <c r="E3699" s="80">
        <f ca="1">IFERROR(__xludf.DUMMYFUNCTION("""COMPUTED_VALUE"""),0)</f>
        <v>0</v>
      </c>
      <c r="F3699" s="77"/>
      <c r="G3699" s="77"/>
    </row>
    <row r="3700" spans="1:7" ht="12.75" x14ac:dyDescent="0.2">
      <c r="A3700" s="78"/>
      <c r="B3700" s="78"/>
      <c r="C3700" s="78"/>
      <c r="D3700" s="78"/>
      <c r="E3700" s="80">
        <f ca="1">IFERROR(__xludf.DUMMYFUNCTION("""COMPUTED_VALUE"""),0)</f>
        <v>0</v>
      </c>
      <c r="F3700" s="77"/>
      <c r="G3700" s="77"/>
    </row>
    <row r="3701" spans="1:7" ht="12.75" x14ac:dyDescent="0.2">
      <c r="A3701" s="78"/>
      <c r="B3701" s="78"/>
      <c r="C3701" s="78"/>
      <c r="D3701" s="78"/>
      <c r="E3701" s="80">
        <f ca="1">IFERROR(__xludf.DUMMYFUNCTION("""COMPUTED_VALUE"""),0)</f>
        <v>0</v>
      </c>
      <c r="F3701" s="77"/>
      <c r="G3701" s="77"/>
    </row>
    <row r="3702" spans="1:7" ht="12.75" x14ac:dyDescent="0.2">
      <c r="A3702" s="78"/>
      <c r="B3702" s="78"/>
      <c r="C3702" s="78"/>
      <c r="D3702" s="78"/>
      <c r="E3702" s="80">
        <f ca="1">IFERROR(__xludf.DUMMYFUNCTION("""COMPUTED_VALUE"""),0)</f>
        <v>0</v>
      </c>
      <c r="F3702" s="77"/>
      <c r="G3702" s="77"/>
    </row>
    <row r="3703" spans="1:7" ht="12.75" x14ac:dyDescent="0.2">
      <c r="A3703" s="78"/>
      <c r="B3703" s="78"/>
      <c r="C3703" s="78"/>
      <c r="D3703" s="78"/>
      <c r="E3703" s="80">
        <f ca="1">IFERROR(__xludf.DUMMYFUNCTION("""COMPUTED_VALUE"""),0)</f>
        <v>0</v>
      </c>
      <c r="F3703" s="77"/>
      <c r="G3703" s="77"/>
    </row>
    <row r="3704" spans="1:7" ht="12.75" x14ac:dyDescent="0.2">
      <c r="A3704" s="78"/>
      <c r="B3704" s="78"/>
      <c r="C3704" s="78"/>
      <c r="D3704" s="78"/>
      <c r="E3704" s="80">
        <f ca="1">IFERROR(__xludf.DUMMYFUNCTION("""COMPUTED_VALUE"""),0)</f>
        <v>0</v>
      </c>
      <c r="F3704" s="77"/>
      <c r="G3704" s="77"/>
    </row>
    <row r="3705" spans="1:7" ht="12.75" x14ac:dyDescent="0.2">
      <c r="A3705" s="78"/>
      <c r="B3705" s="78"/>
      <c r="C3705" s="78"/>
      <c r="D3705" s="78"/>
      <c r="E3705" s="80">
        <f ca="1">IFERROR(__xludf.DUMMYFUNCTION("""COMPUTED_VALUE"""),0)</f>
        <v>0</v>
      </c>
      <c r="F3705" s="77"/>
      <c r="G3705" s="77"/>
    </row>
    <row r="3706" spans="1:7" ht="12.75" x14ac:dyDescent="0.2">
      <c r="A3706" s="78"/>
      <c r="B3706" s="78"/>
      <c r="C3706" s="78"/>
      <c r="D3706" s="78"/>
      <c r="E3706" s="80">
        <f ca="1">IFERROR(__xludf.DUMMYFUNCTION("""COMPUTED_VALUE"""),0)</f>
        <v>0</v>
      </c>
      <c r="F3706" s="77"/>
      <c r="G3706" s="77"/>
    </row>
    <row r="3707" spans="1:7" ht="12.75" x14ac:dyDescent="0.2">
      <c r="A3707" s="78"/>
      <c r="B3707" s="78"/>
      <c r="C3707" s="78"/>
      <c r="D3707" s="78"/>
      <c r="E3707" s="80">
        <f ca="1">IFERROR(__xludf.DUMMYFUNCTION("""COMPUTED_VALUE"""),0)</f>
        <v>0</v>
      </c>
      <c r="F3707" s="77"/>
      <c r="G3707" s="77"/>
    </row>
    <row r="3708" spans="1:7" ht="12.75" x14ac:dyDescent="0.2">
      <c r="A3708" s="78"/>
      <c r="B3708" s="78"/>
      <c r="C3708" s="78"/>
      <c r="D3708" s="78"/>
      <c r="E3708" s="80">
        <f ca="1">IFERROR(__xludf.DUMMYFUNCTION("""COMPUTED_VALUE"""),0)</f>
        <v>0</v>
      </c>
      <c r="F3708" s="77"/>
      <c r="G3708" s="77"/>
    </row>
    <row r="3709" spans="1:7" ht="12.75" x14ac:dyDescent="0.2">
      <c r="A3709" s="78"/>
      <c r="B3709" s="78"/>
      <c r="C3709" s="78"/>
      <c r="D3709" s="78"/>
      <c r="E3709" s="80">
        <f ca="1">IFERROR(__xludf.DUMMYFUNCTION("""COMPUTED_VALUE"""),0)</f>
        <v>0</v>
      </c>
      <c r="F3709" s="77"/>
      <c r="G3709" s="77"/>
    </row>
    <row r="3710" spans="1:7" ht="12.75" x14ac:dyDescent="0.2">
      <c r="A3710" s="78"/>
      <c r="B3710" s="78"/>
      <c r="C3710" s="78"/>
      <c r="D3710" s="78"/>
      <c r="E3710" s="80">
        <f ca="1">IFERROR(__xludf.DUMMYFUNCTION("""COMPUTED_VALUE"""),0)</f>
        <v>0</v>
      </c>
      <c r="F3710" s="77"/>
      <c r="G3710" s="77"/>
    </row>
    <row r="3711" spans="1:7" ht="12.75" x14ac:dyDescent="0.2">
      <c r="A3711" s="78"/>
      <c r="B3711" s="78"/>
      <c r="C3711" s="78"/>
      <c r="D3711" s="78"/>
      <c r="E3711" s="80">
        <f ca="1">IFERROR(__xludf.DUMMYFUNCTION("""COMPUTED_VALUE"""),0)</f>
        <v>0</v>
      </c>
      <c r="F3711" s="77"/>
      <c r="G3711" s="77"/>
    </row>
    <row r="3712" spans="1:7" ht="12.75" x14ac:dyDescent="0.2">
      <c r="A3712" s="78"/>
      <c r="B3712" s="78"/>
      <c r="C3712" s="78"/>
      <c r="D3712" s="78"/>
      <c r="E3712" s="80">
        <f ca="1">IFERROR(__xludf.DUMMYFUNCTION("""COMPUTED_VALUE"""),0)</f>
        <v>0</v>
      </c>
      <c r="F3712" s="77"/>
      <c r="G3712" s="77"/>
    </row>
    <row r="3713" spans="1:7" ht="12.75" x14ac:dyDescent="0.2">
      <c r="A3713" s="78"/>
      <c r="B3713" s="78"/>
      <c r="C3713" s="78"/>
      <c r="D3713" s="78"/>
      <c r="E3713" s="80">
        <f ca="1">IFERROR(__xludf.DUMMYFUNCTION("""COMPUTED_VALUE"""),0)</f>
        <v>0</v>
      </c>
      <c r="F3713" s="77"/>
      <c r="G3713" s="77"/>
    </row>
    <row r="3714" spans="1:7" ht="12.75" x14ac:dyDescent="0.2">
      <c r="A3714" s="78"/>
      <c r="B3714" s="78"/>
      <c r="C3714" s="78"/>
      <c r="D3714" s="78"/>
      <c r="E3714" s="80">
        <f ca="1">IFERROR(__xludf.DUMMYFUNCTION("""COMPUTED_VALUE"""),0)</f>
        <v>0</v>
      </c>
      <c r="F3714" s="77"/>
      <c r="G3714" s="77"/>
    </row>
    <row r="3715" spans="1:7" ht="12.75" x14ac:dyDescent="0.2">
      <c r="A3715" s="78"/>
      <c r="B3715" s="78"/>
      <c r="C3715" s="78"/>
      <c r="D3715" s="78"/>
      <c r="E3715" s="80">
        <f ca="1">IFERROR(__xludf.DUMMYFUNCTION("""COMPUTED_VALUE"""),0)</f>
        <v>0</v>
      </c>
      <c r="F3715" s="77"/>
      <c r="G3715" s="77"/>
    </row>
    <row r="3716" spans="1:7" ht="12.75" x14ac:dyDescent="0.2">
      <c r="A3716" s="78"/>
      <c r="B3716" s="78"/>
      <c r="C3716" s="78"/>
      <c r="D3716" s="78"/>
      <c r="E3716" s="80">
        <f ca="1">IFERROR(__xludf.DUMMYFUNCTION("""COMPUTED_VALUE"""),0)</f>
        <v>0</v>
      </c>
      <c r="F3716" s="77"/>
      <c r="G3716" s="77"/>
    </row>
    <row r="3717" spans="1:7" ht="12.75" x14ac:dyDescent="0.2">
      <c r="A3717" s="78"/>
      <c r="B3717" s="78"/>
      <c r="C3717" s="78"/>
      <c r="D3717" s="78"/>
      <c r="E3717" s="80">
        <f ca="1">IFERROR(__xludf.DUMMYFUNCTION("""COMPUTED_VALUE"""),0)</f>
        <v>0</v>
      </c>
      <c r="F3717" s="77"/>
      <c r="G3717" s="77"/>
    </row>
    <row r="3718" spans="1:7" ht="12.75" x14ac:dyDescent="0.2">
      <c r="A3718" s="78"/>
      <c r="B3718" s="78"/>
      <c r="C3718" s="78"/>
      <c r="D3718" s="78"/>
      <c r="E3718" s="80">
        <f ca="1">IFERROR(__xludf.DUMMYFUNCTION("""COMPUTED_VALUE"""),0)</f>
        <v>0</v>
      </c>
      <c r="F3718" s="77"/>
      <c r="G3718" s="77"/>
    </row>
    <row r="3719" spans="1:7" ht="12.75" x14ac:dyDescent="0.2">
      <c r="A3719" s="78"/>
      <c r="B3719" s="78"/>
      <c r="C3719" s="78"/>
      <c r="D3719" s="78"/>
      <c r="E3719" s="80">
        <f ca="1">IFERROR(__xludf.DUMMYFUNCTION("""COMPUTED_VALUE"""),0)</f>
        <v>0</v>
      </c>
      <c r="F3719" s="77"/>
      <c r="G3719" s="77"/>
    </row>
    <row r="3720" spans="1:7" ht="12.75" x14ac:dyDescent="0.2">
      <c r="A3720" s="78"/>
      <c r="B3720" s="78"/>
      <c r="C3720" s="78"/>
      <c r="D3720" s="78"/>
      <c r="E3720" s="80">
        <f ca="1">IFERROR(__xludf.DUMMYFUNCTION("""COMPUTED_VALUE"""),0)</f>
        <v>0</v>
      </c>
      <c r="F3720" s="77"/>
      <c r="G3720" s="77"/>
    </row>
    <row r="3721" spans="1:7" ht="12.75" x14ac:dyDescent="0.2">
      <c r="A3721" s="78"/>
      <c r="B3721" s="78"/>
      <c r="C3721" s="78"/>
      <c r="D3721" s="78"/>
      <c r="E3721" s="80">
        <f ca="1">IFERROR(__xludf.DUMMYFUNCTION("""COMPUTED_VALUE"""),0)</f>
        <v>0</v>
      </c>
      <c r="F3721" s="77"/>
      <c r="G3721" s="77"/>
    </row>
    <row r="3722" spans="1:7" ht="12.75" x14ac:dyDescent="0.2">
      <c r="A3722" s="78"/>
      <c r="B3722" s="78"/>
      <c r="C3722" s="78"/>
      <c r="D3722" s="78"/>
      <c r="E3722" s="80">
        <f ca="1">IFERROR(__xludf.DUMMYFUNCTION("""COMPUTED_VALUE"""),0)</f>
        <v>0</v>
      </c>
      <c r="F3722" s="77"/>
      <c r="G3722" s="77"/>
    </row>
    <row r="3723" spans="1:7" ht="12.75" x14ac:dyDescent="0.2">
      <c r="A3723" s="78"/>
      <c r="B3723" s="78"/>
      <c r="C3723" s="78"/>
      <c r="D3723" s="78"/>
      <c r="E3723" s="80">
        <f ca="1">IFERROR(__xludf.DUMMYFUNCTION("""COMPUTED_VALUE"""),0)</f>
        <v>0</v>
      </c>
      <c r="F3723" s="77"/>
      <c r="G3723" s="77"/>
    </row>
    <row r="3724" spans="1:7" ht="12.75" x14ac:dyDescent="0.2">
      <c r="A3724" s="78"/>
      <c r="B3724" s="78"/>
      <c r="C3724" s="78"/>
      <c r="D3724" s="78"/>
      <c r="E3724" s="80">
        <f ca="1">IFERROR(__xludf.DUMMYFUNCTION("""COMPUTED_VALUE"""),0)</f>
        <v>0</v>
      </c>
      <c r="F3724" s="77"/>
      <c r="G3724" s="77"/>
    </row>
    <row r="3725" spans="1:7" ht="12.75" x14ac:dyDescent="0.2">
      <c r="A3725" s="78"/>
      <c r="B3725" s="78"/>
      <c r="C3725" s="78"/>
      <c r="D3725" s="78"/>
      <c r="E3725" s="80">
        <f ca="1">IFERROR(__xludf.DUMMYFUNCTION("""COMPUTED_VALUE"""),0)</f>
        <v>0</v>
      </c>
      <c r="F3725" s="77"/>
      <c r="G3725" s="77"/>
    </row>
    <row r="3726" spans="1:7" ht="12.75" x14ac:dyDescent="0.2">
      <c r="A3726" s="78"/>
      <c r="B3726" s="78"/>
      <c r="C3726" s="78"/>
      <c r="D3726" s="78"/>
      <c r="E3726" s="80">
        <f ca="1">IFERROR(__xludf.DUMMYFUNCTION("""COMPUTED_VALUE"""),0)</f>
        <v>0</v>
      </c>
      <c r="F3726" s="77"/>
      <c r="G3726" s="77"/>
    </row>
    <row r="3727" spans="1:7" ht="12.75" x14ac:dyDescent="0.2">
      <c r="A3727" s="78"/>
      <c r="B3727" s="78"/>
      <c r="C3727" s="78"/>
      <c r="D3727" s="78"/>
      <c r="E3727" s="80">
        <f ca="1">IFERROR(__xludf.DUMMYFUNCTION("""COMPUTED_VALUE"""),0)</f>
        <v>0</v>
      </c>
      <c r="F3727" s="77"/>
      <c r="G3727" s="77"/>
    </row>
    <row r="3728" spans="1:7" ht="12.75" x14ac:dyDescent="0.2">
      <c r="A3728" s="78"/>
      <c r="B3728" s="78"/>
      <c r="C3728" s="78"/>
      <c r="D3728" s="78"/>
      <c r="E3728" s="80">
        <f ca="1">IFERROR(__xludf.DUMMYFUNCTION("""COMPUTED_VALUE"""),0)</f>
        <v>0</v>
      </c>
      <c r="F3728" s="77"/>
      <c r="G3728" s="77"/>
    </row>
    <row r="3729" spans="1:7" ht="12.75" x14ac:dyDescent="0.2">
      <c r="A3729" s="78"/>
      <c r="B3729" s="78"/>
      <c r="C3729" s="78"/>
      <c r="D3729" s="78"/>
      <c r="E3729" s="80">
        <f ca="1">IFERROR(__xludf.DUMMYFUNCTION("""COMPUTED_VALUE"""),0)</f>
        <v>0</v>
      </c>
      <c r="F3729" s="77"/>
      <c r="G3729" s="77"/>
    </row>
    <row r="3730" spans="1:7" ht="12.75" x14ac:dyDescent="0.2">
      <c r="A3730" s="78"/>
      <c r="B3730" s="78"/>
      <c r="C3730" s="78"/>
      <c r="D3730" s="78"/>
      <c r="E3730" s="80">
        <f ca="1">IFERROR(__xludf.DUMMYFUNCTION("""COMPUTED_VALUE"""),0)</f>
        <v>0</v>
      </c>
      <c r="F3730" s="77"/>
      <c r="G3730" s="77"/>
    </row>
    <row r="3731" spans="1:7" ht="12.75" x14ac:dyDescent="0.2">
      <c r="A3731" s="78"/>
      <c r="B3731" s="78"/>
      <c r="C3731" s="78"/>
      <c r="D3731" s="78"/>
      <c r="E3731" s="80">
        <f ca="1">IFERROR(__xludf.DUMMYFUNCTION("""COMPUTED_VALUE"""),0)</f>
        <v>0</v>
      </c>
      <c r="F3731" s="77"/>
      <c r="G3731" s="77"/>
    </row>
    <row r="3732" spans="1:7" ht="12.75" x14ac:dyDescent="0.2">
      <c r="A3732" s="78"/>
      <c r="B3732" s="78"/>
      <c r="C3732" s="78"/>
      <c r="D3732" s="78"/>
      <c r="E3732" s="80">
        <f ca="1">IFERROR(__xludf.DUMMYFUNCTION("""COMPUTED_VALUE"""),0)</f>
        <v>0</v>
      </c>
      <c r="F3732" s="77"/>
      <c r="G3732" s="77"/>
    </row>
    <row r="3733" spans="1:7" ht="12.75" x14ac:dyDescent="0.2">
      <c r="A3733" s="78"/>
      <c r="B3733" s="78"/>
      <c r="C3733" s="78"/>
      <c r="D3733" s="78"/>
      <c r="E3733" s="80">
        <f ca="1">IFERROR(__xludf.DUMMYFUNCTION("""COMPUTED_VALUE"""),0)</f>
        <v>0</v>
      </c>
      <c r="F3733" s="77"/>
      <c r="G3733" s="77"/>
    </row>
    <row r="3734" spans="1:7" ht="12.75" x14ac:dyDescent="0.2">
      <c r="A3734" s="78"/>
      <c r="B3734" s="78"/>
      <c r="C3734" s="78"/>
      <c r="D3734" s="78"/>
      <c r="E3734" s="80">
        <f ca="1">IFERROR(__xludf.DUMMYFUNCTION("""COMPUTED_VALUE"""),0)</f>
        <v>0</v>
      </c>
      <c r="F3734" s="77"/>
      <c r="G3734" s="77"/>
    </row>
    <row r="3735" spans="1:7" ht="12.75" x14ac:dyDescent="0.2">
      <c r="A3735" s="78"/>
      <c r="B3735" s="78"/>
      <c r="C3735" s="78"/>
      <c r="D3735" s="78"/>
      <c r="E3735" s="80">
        <f ca="1">IFERROR(__xludf.DUMMYFUNCTION("""COMPUTED_VALUE"""),0)</f>
        <v>0</v>
      </c>
      <c r="F3735" s="77"/>
      <c r="G3735" s="77"/>
    </row>
    <row r="3736" spans="1:7" ht="12.75" x14ac:dyDescent="0.2">
      <c r="A3736" s="78"/>
      <c r="B3736" s="78"/>
      <c r="C3736" s="78"/>
      <c r="D3736" s="78"/>
      <c r="E3736" s="80">
        <f ca="1">IFERROR(__xludf.DUMMYFUNCTION("""COMPUTED_VALUE"""),0)</f>
        <v>0</v>
      </c>
      <c r="F3736" s="77"/>
      <c r="G3736" s="77"/>
    </row>
    <row r="3737" spans="1:7" ht="12.75" x14ac:dyDescent="0.2">
      <c r="A3737" s="78"/>
      <c r="B3737" s="78"/>
      <c r="C3737" s="78"/>
      <c r="D3737" s="78"/>
      <c r="E3737" s="80">
        <f ca="1">IFERROR(__xludf.DUMMYFUNCTION("""COMPUTED_VALUE"""),0)</f>
        <v>0</v>
      </c>
      <c r="F3737" s="77"/>
      <c r="G3737" s="77"/>
    </row>
    <row r="3738" spans="1:7" ht="12.75" x14ac:dyDescent="0.2">
      <c r="A3738" s="78"/>
      <c r="B3738" s="78"/>
      <c r="C3738" s="78"/>
      <c r="D3738" s="78"/>
      <c r="E3738" s="80">
        <f ca="1">IFERROR(__xludf.DUMMYFUNCTION("""COMPUTED_VALUE"""),0)</f>
        <v>0</v>
      </c>
      <c r="F3738" s="77"/>
      <c r="G3738" s="77"/>
    </row>
    <row r="3739" spans="1:7" ht="12.75" x14ac:dyDescent="0.2">
      <c r="A3739" s="78"/>
      <c r="B3739" s="78"/>
      <c r="C3739" s="78"/>
      <c r="D3739" s="78"/>
      <c r="E3739" s="80">
        <f ca="1">IFERROR(__xludf.DUMMYFUNCTION("""COMPUTED_VALUE"""),0)</f>
        <v>0</v>
      </c>
      <c r="F3739" s="77"/>
      <c r="G3739" s="77"/>
    </row>
    <row r="3740" spans="1:7" ht="12.75" x14ac:dyDescent="0.2">
      <c r="A3740" s="78"/>
      <c r="B3740" s="78"/>
      <c r="C3740" s="78"/>
      <c r="D3740" s="78"/>
      <c r="E3740" s="80">
        <f ca="1">IFERROR(__xludf.DUMMYFUNCTION("""COMPUTED_VALUE"""),0)</f>
        <v>0</v>
      </c>
      <c r="F3740" s="77"/>
      <c r="G3740" s="77"/>
    </row>
    <row r="3741" spans="1:7" ht="12.75" x14ac:dyDescent="0.2">
      <c r="A3741" s="78"/>
      <c r="B3741" s="78"/>
      <c r="C3741" s="78"/>
      <c r="D3741" s="78"/>
      <c r="E3741" s="80">
        <f ca="1">IFERROR(__xludf.DUMMYFUNCTION("""COMPUTED_VALUE"""),0)</f>
        <v>0</v>
      </c>
      <c r="F3741" s="77"/>
      <c r="G3741" s="77"/>
    </row>
    <row r="3742" spans="1:7" ht="12.75" x14ac:dyDescent="0.2">
      <c r="A3742" s="78"/>
      <c r="B3742" s="78"/>
      <c r="C3742" s="78"/>
      <c r="D3742" s="78"/>
      <c r="E3742" s="80">
        <f ca="1">IFERROR(__xludf.DUMMYFUNCTION("""COMPUTED_VALUE"""),0)</f>
        <v>0</v>
      </c>
      <c r="F3742" s="77"/>
      <c r="G3742" s="77"/>
    </row>
    <row r="3743" spans="1:7" ht="12.75" x14ac:dyDescent="0.2">
      <c r="A3743" s="78"/>
      <c r="B3743" s="78"/>
      <c r="C3743" s="78"/>
      <c r="D3743" s="78"/>
      <c r="E3743" s="80">
        <f ca="1">IFERROR(__xludf.DUMMYFUNCTION("""COMPUTED_VALUE"""),0)</f>
        <v>0</v>
      </c>
      <c r="F3743" s="77"/>
      <c r="G3743" s="77"/>
    </row>
    <row r="3744" spans="1:7" ht="12.75" x14ac:dyDescent="0.2">
      <c r="A3744" s="78"/>
      <c r="B3744" s="78"/>
      <c r="C3744" s="78"/>
      <c r="D3744" s="78"/>
      <c r="E3744" s="80">
        <f ca="1">IFERROR(__xludf.DUMMYFUNCTION("""COMPUTED_VALUE"""),0)</f>
        <v>0</v>
      </c>
      <c r="F3744" s="77"/>
      <c r="G3744" s="77"/>
    </row>
    <row r="3745" spans="1:7" ht="12.75" x14ac:dyDescent="0.2">
      <c r="A3745" s="78"/>
      <c r="B3745" s="78"/>
      <c r="C3745" s="78"/>
      <c r="D3745" s="78"/>
      <c r="E3745" s="80">
        <f ca="1">IFERROR(__xludf.DUMMYFUNCTION("""COMPUTED_VALUE"""),0)</f>
        <v>0</v>
      </c>
      <c r="F3745" s="77"/>
      <c r="G3745" s="77"/>
    </row>
    <row r="3746" spans="1:7" ht="12.75" x14ac:dyDescent="0.2">
      <c r="A3746" s="78"/>
      <c r="B3746" s="78"/>
      <c r="C3746" s="78"/>
      <c r="D3746" s="78"/>
      <c r="E3746" s="80">
        <f ca="1">IFERROR(__xludf.DUMMYFUNCTION("""COMPUTED_VALUE"""),0)</f>
        <v>0</v>
      </c>
      <c r="F3746" s="77"/>
      <c r="G3746" s="77"/>
    </row>
    <row r="3747" spans="1:7" ht="12.75" x14ac:dyDescent="0.2">
      <c r="A3747" s="78"/>
      <c r="B3747" s="78"/>
      <c r="C3747" s="78"/>
      <c r="D3747" s="78"/>
      <c r="E3747" s="80">
        <f ca="1">IFERROR(__xludf.DUMMYFUNCTION("""COMPUTED_VALUE"""),0)</f>
        <v>0</v>
      </c>
      <c r="F3747" s="77"/>
      <c r="G3747" s="77"/>
    </row>
    <row r="3748" spans="1:7" ht="12.75" x14ac:dyDescent="0.2">
      <c r="A3748" s="78"/>
      <c r="B3748" s="78"/>
      <c r="C3748" s="78"/>
      <c r="D3748" s="78"/>
      <c r="E3748" s="80">
        <f ca="1">IFERROR(__xludf.DUMMYFUNCTION("""COMPUTED_VALUE"""),0)</f>
        <v>0</v>
      </c>
      <c r="F3748" s="77"/>
      <c r="G3748" s="77"/>
    </row>
    <row r="3749" spans="1:7" ht="12.75" x14ac:dyDescent="0.2">
      <c r="A3749" s="78"/>
      <c r="B3749" s="78"/>
      <c r="C3749" s="78"/>
      <c r="D3749" s="78"/>
      <c r="E3749" s="80">
        <f ca="1">IFERROR(__xludf.DUMMYFUNCTION("""COMPUTED_VALUE"""),0)</f>
        <v>0</v>
      </c>
      <c r="F3749" s="77"/>
      <c r="G3749" s="77"/>
    </row>
    <row r="3750" spans="1:7" ht="12.75" x14ac:dyDescent="0.2">
      <c r="A3750" s="78"/>
      <c r="B3750" s="78"/>
      <c r="C3750" s="78"/>
      <c r="D3750" s="78"/>
      <c r="E3750" s="80">
        <f ca="1">IFERROR(__xludf.DUMMYFUNCTION("""COMPUTED_VALUE"""),0)</f>
        <v>0</v>
      </c>
      <c r="F3750" s="77"/>
      <c r="G3750" s="77"/>
    </row>
    <row r="3751" spans="1:7" ht="12.75" x14ac:dyDescent="0.2">
      <c r="A3751" s="78"/>
      <c r="B3751" s="78"/>
      <c r="C3751" s="78"/>
      <c r="D3751" s="78"/>
      <c r="E3751" s="80">
        <f ca="1">IFERROR(__xludf.DUMMYFUNCTION("""COMPUTED_VALUE"""),0)</f>
        <v>0</v>
      </c>
      <c r="F3751" s="77"/>
      <c r="G3751" s="77"/>
    </row>
    <row r="3752" spans="1:7" ht="12.75" x14ac:dyDescent="0.2">
      <c r="A3752" s="78"/>
      <c r="B3752" s="78"/>
      <c r="C3752" s="78"/>
      <c r="D3752" s="78"/>
      <c r="E3752" s="80">
        <f ca="1">IFERROR(__xludf.DUMMYFUNCTION("""COMPUTED_VALUE"""),0)</f>
        <v>0</v>
      </c>
      <c r="F3752" s="77"/>
      <c r="G3752" s="77"/>
    </row>
    <row r="3753" spans="1:7" ht="12.75" x14ac:dyDescent="0.2">
      <c r="A3753" s="78"/>
      <c r="B3753" s="78"/>
      <c r="C3753" s="78"/>
      <c r="D3753" s="78"/>
      <c r="E3753" s="80">
        <f ca="1">IFERROR(__xludf.DUMMYFUNCTION("""COMPUTED_VALUE"""),0)</f>
        <v>0</v>
      </c>
      <c r="F3753" s="77"/>
      <c r="G3753" s="77"/>
    </row>
    <row r="3754" spans="1:7" ht="12.75" x14ac:dyDescent="0.2">
      <c r="A3754" s="78"/>
      <c r="B3754" s="78"/>
      <c r="C3754" s="78"/>
      <c r="D3754" s="78"/>
      <c r="E3754" s="80">
        <f ca="1">IFERROR(__xludf.DUMMYFUNCTION("""COMPUTED_VALUE"""),0)</f>
        <v>0</v>
      </c>
      <c r="F3754" s="77"/>
      <c r="G3754" s="77"/>
    </row>
    <row r="3755" spans="1:7" ht="12.75" x14ac:dyDescent="0.2">
      <c r="A3755" s="78"/>
      <c r="B3755" s="78"/>
      <c r="C3755" s="78"/>
      <c r="D3755" s="78"/>
      <c r="E3755" s="80">
        <f ca="1">IFERROR(__xludf.DUMMYFUNCTION("""COMPUTED_VALUE"""),0)</f>
        <v>0</v>
      </c>
      <c r="F3755" s="77"/>
      <c r="G3755" s="77"/>
    </row>
    <row r="3756" spans="1:7" ht="12.75" x14ac:dyDescent="0.2">
      <c r="A3756" s="78"/>
      <c r="B3756" s="78"/>
      <c r="C3756" s="78"/>
      <c r="D3756" s="78"/>
      <c r="E3756" s="80">
        <f ca="1">IFERROR(__xludf.DUMMYFUNCTION("""COMPUTED_VALUE"""),0)</f>
        <v>0</v>
      </c>
      <c r="F3756" s="77"/>
      <c r="G3756" s="77"/>
    </row>
    <row r="3757" spans="1:7" ht="12.75" x14ac:dyDescent="0.2">
      <c r="A3757" s="78"/>
      <c r="B3757" s="78"/>
      <c r="C3757" s="78"/>
      <c r="D3757" s="78"/>
      <c r="E3757" s="80">
        <f ca="1">IFERROR(__xludf.DUMMYFUNCTION("""COMPUTED_VALUE"""),0)</f>
        <v>0</v>
      </c>
      <c r="F3757" s="77"/>
      <c r="G3757" s="77"/>
    </row>
    <row r="3758" spans="1:7" ht="12.75" x14ac:dyDescent="0.2">
      <c r="A3758" s="78"/>
      <c r="B3758" s="78"/>
      <c r="C3758" s="78"/>
      <c r="D3758" s="78"/>
      <c r="E3758" s="80">
        <f ca="1">IFERROR(__xludf.DUMMYFUNCTION("""COMPUTED_VALUE"""),0)</f>
        <v>0</v>
      </c>
      <c r="F3758" s="77"/>
      <c r="G3758" s="77"/>
    </row>
    <row r="3759" spans="1:7" ht="12.75" x14ac:dyDescent="0.2">
      <c r="A3759" s="78"/>
      <c r="B3759" s="78"/>
      <c r="C3759" s="78"/>
      <c r="D3759" s="78"/>
      <c r="E3759" s="80">
        <f ca="1">IFERROR(__xludf.DUMMYFUNCTION("""COMPUTED_VALUE"""),0)</f>
        <v>0</v>
      </c>
      <c r="F3759" s="77"/>
      <c r="G3759" s="77"/>
    </row>
    <row r="3760" spans="1:7" ht="12.75" x14ac:dyDescent="0.2">
      <c r="A3760" s="78"/>
      <c r="B3760" s="78"/>
      <c r="C3760" s="78"/>
      <c r="D3760" s="78"/>
      <c r="E3760" s="80">
        <f ca="1">IFERROR(__xludf.DUMMYFUNCTION("""COMPUTED_VALUE"""),0)</f>
        <v>0</v>
      </c>
      <c r="F3760" s="77"/>
      <c r="G3760" s="77"/>
    </row>
    <row r="3761" spans="1:7" ht="12.75" x14ac:dyDescent="0.2">
      <c r="A3761" s="78"/>
      <c r="B3761" s="78"/>
      <c r="C3761" s="78"/>
      <c r="D3761" s="78"/>
      <c r="E3761" s="80">
        <f ca="1">IFERROR(__xludf.DUMMYFUNCTION("""COMPUTED_VALUE"""),0)</f>
        <v>0</v>
      </c>
      <c r="F3761" s="77"/>
      <c r="G3761" s="77"/>
    </row>
    <row r="3762" spans="1:7" ht="12.75" x14ac:dyDescent="0.2">
      <c r="A3762" s="78"/>
      <c r="B3762" s="78"/>
      <c r="C3762" s="78"/>
      <c r="D3762" s="78"/>
      <c r="E3762" s="80">
        <f ca="1">IFERROR(__xludf.DUMMYFUNCTION("""COMPUTED_VALUE"""),0)</f>
        <v>0</v>
      </c>
      <c r="F3762" s="77"/>
      <c r="G3762" s="77"/>
    </row>
    <row r="3763" spans="1:7" ht="12.75" x14ac:dyDescent="0.2">
      <c r="A3763" s="78"/>
      <c r="B3763" s="78"/>
      <c r="C3763" s="78"/>
      <c r="D3763" s="78"/>
      <c r="E3763" s="80">
        <f ca="1">IFERROR(__xludf.DUMMYFUNCTION("""COMPUTED_VALUE"""),0)</f>
        <v>0</v>
      </c>
      <c r="F3763" s="77"/>
      <c r="G3763" s="77"/>
    </row>
    <row r="3764" spans="1:7" ht="12.75" x14ac:dyDescent="0.2">
      <c r="A3764" s="78"/>
      <c r="B3764" s="78"/>
      <c r="C3764" s="78"/>
      <c r="D3764" s="78"/>
      <c r="E3764" s="80">
        <f ca="1">IFERROR(__xludf.DUMMYFUNCTION("""COMPUTED_VALUE"""),0)</f>
        <v>0</v>
      </c>
      <c r="F3764" s="77"/>
      <c r="G3764" s="77"/>
    </row>
    <row r="3765" spans="1:7" ht="12.75" x14ac:dyDescent="0.2">
      <c r="A3765" s="78"/>
      <c r="B3765" s="78"/>
      <c r="C3765" s="78"/>
      <c r="D3765" s="78"/>
      <c r="E3765" s="80">
        <f ca="1">IFERROR(__xludf.DUMMYFUNCTION("""COMPUTED_VALUE"""),0)</f>
        <v>0</v>
      </c>
      <c r="F3765" s="77"/>
      <c r="G3765" s="77"/>
    </row>
    <row r="3766" spans="1:7" ht="12.75" x14ac:dyDescent="0.2">
      <c r="A3766" s="78"/>
      <c r="B3766" s="78"/>
      <c r="C3766" s="78"/>
      <c r="D3766" s="78"/>
      <c r="E3766" s="80">
        <f ca="1">IFERROR(__xludf.DUMMYFUNCTION("""COMPUTED_VALUE"""),0)</f>
        <v>0</v>
      </c>
      <c r="F3766" s="77"/>
      <c r="G3766" s="77"/>
    </row>
    <row r="3767" spans="1:7" ht="12.75" x14ac:dyDescent="0.2">
      <c r="A3767" s="78"/>
      <c r="B3767" s="78"/>
      <c r="C3767" s="78"/>
      <c r="D3767" s="78"/>
      <c r="E3767" s="80">
        <f ca="1">IFERROR(__xludf.DUMMYFUNCTION("""COMPUTED_VALUE"""),0)</f>
        <v>0</v>
      </c>
      <c r="F3767" s="77"/>
      <c r="G3767" s="77"/>
    </row>
    <row r="3768" spans="1:7" ht="12.75" x14ac:dyDescent="0.2">
      <c r="A3768" s="78"/>
      <c r="B3768" s="78"/>
      <c r="C3768" s="78"/>
      <c r="D3768" s="78"/>
      <c r="E3768" s="80">
        <f ca="1">IFERROR(__xludf.DUMMYFUNCTION("""COMPUTED_VALUE"""),0)</f>
        <v>0</v>
      </c>
      <c r="F3768" s="77"/>
      <c r="G3768" s="77"/>
    </row>
    <row r="3769" spans="1:7" ht="12.75" x14ac:dyDescent="0.2">
      <c r="A3769" s="78"/>
      <c r="B3769" s="78"/>
      <c r="C3769" s="78"/>
      <c r="D3769" s="78"/>
      <c r="E3769" s="80">
        <f ca="1">IFERROR(__xludf.DUMMYFUNCTION("""COMPUTED_VALUE"""),0)</f>
        <v>0</v>
      </c>
      <c r="F3769" s="77"/>
      <c r="G3769" s="77"/>
    </row>
    <row r="3770" spans="1:7" ht="12.75" x14ac:dyDescent="0.2">
      <c r="A3770" s="78"/>
      <c r="B3770" s="78"/>
      <c r="C3770" s="78"/>
      <c r="D3770" s="78"/>
      <c r="E3770" s="80">
        <f ca="1">IFERROR(__xludf.DUMMYFUNCTION("""COMPUTED_VALUE"""),0)</f>
        <v>0</v>
      </c>
      <c r="F3770" s="77"/>
      <c r="G3770" s="77"/>
    </row>
    <row r="3771" spans="1:7" ht="12.75" x14ac:dyDescent="0.2">
      <c r="A3771" s="78"/>
      <c r="B3771" s="78"/>
      <c r="C3771" s="78"/>
      <c r="D3771" s="78"/>
      <c r="E3771" s="80">
        <f ca="1">IFERROR(__xludf.DUMMYFUNCTION("""COMPUTED_VALUE"""),0)</f>
        <v>0</v>
      </c>
      <c r="F3771" s="77"/>
      <c r="G3771" s="77"/>
    </row>
    <row r="3772" spans="1:7" ht="12.75" x14ac:dyDescent="0.2">
      <c r="A3772" s="78"/>
      <c r="B3772" s="78"/>
      <c r="C3772" s="78"/>
      <c r="D3772" s="78"/>
      <c r="E3772" s="80">
        <f ca="1">IFERROR(__xludf.DUMMYFUNCTION("""COMPUTED_VALUE"""),0)</f>
        <v>0</v>
      </c>
      <c r="F3772" s="77"/>
      <c r="G3772" s="77"/>
    </row>
    <row r="3773" spans="1:7" ht="12.75" x14ac:dyDescent="0.2">
      <c r="A3773" s="78"/>
      <c r="B3773" s="78"/>
      <c r="C3773" s="78"/>
      <c r="D3773" s="78"/>
      <c r="E3773" s="80">
        <f ca="1">IFERROR(__xludf.DUMMYFUNCTION("""COMPUTED_VALUE"""),0)</f>
        <v>0</v>
      </c>
      <c r="F3773" s="77"/>
      <c r="G3773" s="77"/>
    </row>
    <row r="3774" spans="1:7" ht="12.75" x14ac:dyDescent="0.2">
      <c r="A3774" s="78"/>
      <c r="B3774" s="78"/>
      <c r="C3774" s="78"/>
      <c r="D3774" s="78"/>
      <c r="E3774" s="80">
        <f ca="1">IFERROR(__xludf.DUMMYFUNCTION("""COMPUTED_VALUE"""),0)</f>
        <v>0</v>
      </c>
      <c r="F3774" s="77"/>
      <c r="G3774" s="77"/>
    </row>
    <row r="3775" spans="1:7" ht="12.75" x14ac:dyDescent="0.2">
      <c r="A3775" s="78"/>
      <c r="B3775" s="78"/>
      <c r="C3775" s="78"/>
      <c r="D3775" s="78"/>
      <c r="E3775" s="80">
        <f ca="1">IFERROR(__xludf.DUMMYFUNCTION("""COMPUTED_VALUE"""),0)</f>
        <v>0</v>
      </c>
      <c r="F3775" s="77"/>
      <c r="G3775" s="77"/>
    </row>
    <row r="3776" spans="1:7" ht="12.75" x14ac:dyDescent="0.2">
      <c r="A3776" s="78"/>
      <c r="B3776" s="78"/>
      <c r="C3776" s="78"/>
      <c r="D3776" s="78"/>
      <c r="E3776" s="80">
        <f ca="1">IFERROR(__xludf.DUMMYFUNCTION("""COMPUTED_VALUE"""),0)</f>
        <v>0</v>
      </c>
      <c r="F3776" s="77"/>
      <c r="G3776" s="77"/>
    </row>
    <row r="3777" spans="1:7" ht="12.75" x14ac:dyDescent="0.2">
      <c r="A3777" s="78"/>
      <c r="B3777" s="78"/>
      <c r="C3777" s="78"/>
      <c r="D3777" s="78"/>
      <c r="E3777" s="80">
        <f ca="1">IFERROR(__xludf.DUMMYFUNCTION("""COMPUTED_VALUE"""),0)</f>
        <v>0</v>
      </c>
      <c r="F3777" s="77"/>
      <c r="G3777" s="77"/>
    </row>
    <row r="3778" spans="1:7" ht="12.75" x14ac:dyDescent="0.2">
      <c r="A3778" s="78"/>
      <c r="B3778" s="78"/>
      <c r="C3778" s="78"/>
      <c r="D3778" s="78"/>
      <c r="E3778" s="80">
        <f ca="1">IFERROR(__xludf.DUMMYFUNCTION("""COMPUTED_VALUE"""),0)</f>
        <v>0</v>
      </c>
      <c r="F3778" s="77"/>
      <c r="G3778" s="77"/>
    </row>
    <row r="3779" spans="1:7" ht="12.75" x14ac:dyDescent="0.2">
      <c r="A3779" s="78"/>
      <c r="B3779" s="78"/>
      <c r="C3779" s="78"/>
      <c r="D3779" s="78"/>
      <c r="E3779" s="80">
        <f ca="1">IFERROR(__xludf.DUMMYFUNCTION("""COMPUTED_VALUE"""),0)</f>
        <v>0</v>
      </c>
      <c r="F3779" s="77"/>
      <c r="G3779" s="77"/>
    </row>
    <row r="3780" spans="1:7" ht="12.75" x14ac:dyDescent="0.2">
      <c r="A3780" s="78"/>
      <c r="B3780" s="78"/>
      <c r="C3780" s="78"/>
      <c r="D3780" s="78"/>
      <c r="E3780" s="80">
        <f ca="1">IFERROR(__xludf.DUMMYFUNCTION("""COMPUTED_VALUE"""),0)</f>
        <v>0</v>
      </c>
      <c r="F3780" s="77"/>
      <c r="G3780" s="77"/>
    </row>
    <row r="3781" spans="1:7" ht="12.75" x14ac:dyDescent="0.2">
      <c r="A3781" s="78"/>
      <c r="B3781" s="78"/>
      <c r="C3781" s="78"/>
      <c r="D3781" s="78"/>
      <c r="E3781" s="80">
        <f ca="1">IFERROR(__xludf.DUMMYFUNCTION("""COMPUTED_VALUE"""),0)</f>
        <v>0</v>
      </c>
      <c r="F3781" s="77"/>
      <c r="G3781" s="77"/>
    </row>
    <row r="3782" spans="1:7" ht="12.75" x14ac:dyDescent="0.2">
      <c r="A3782" s="78"/>
      <c r="B3782" s="78"/>
      <c r="C3782" s="78"/>
      <c r="D3782" s="78"/>
      <c r="E3782" s="80">
        <f ca="1">IFERROR(__xludf.DUMMYFUNCTION("""COMPUTED_VALUE"""),0)</f>
        <v>0</v>
      </c>
      <c r="F3782" s="77"/>
      <c r="G3782" s="77"/>
    </row>
    <row r="3783" spans="1:7" ht="12.75" x14ac:dyDescent="0.2">
      <c r="A3783" s="78"/>
      <c r="B3783" s="78"/>
      <c r="C3783" s="78"/>
      <c r="D3783" s="78"/>
      <c r="E3783" s="80">
        <f ca="1">IFERROR(__xludf.DUMMYFUNCTION("""COMPUTED_VALUE"""),0)</f>
        <v>0</v>
      </c>
      <c r="F3783" s="77"/>
      <c r="G3783" s="77"/>
    </row>
    <row r="3784" spans="1:7" ht="12.75" x14ac:dyDescent="0.2">
      <c r="A3784" s="78"/>
      <c r="B3784" s="78"/>
      <c r="C3784" s="78"/>
      <c r="D3784" s="78"/>
      <c r="E3784" s="80">
        <f ca="1">IFERROR(__xludf.DUMMYFUNCTION("""COMPUTED_VALUE"""),0)</f>
        <v>0</v>
      </c>
      <c r="F3784" s="77"/>
      <c r="G3784" s="77"/>
    </row>
    <row r="3785" spans="1:7" ht="12.75" x14ac:dyDescent="0.2">
      <c r="A3785" s="78"/>
      <c r="B3785" s="78"/>
      <c r="C3785" s="78"/>
      <c r="D3785" s="78"/>
      <c r="E3785" s="80">
        <f ca="1">IFERROR(__xludf.DUMMYFUNCTION("""COMPUTED_VALUE"""),0)</f>
        <v>0</v>
      </c>
      <c r="F3785" s="77"/>
      <c r="G3785" s="77"/>
    </row>
    <row r="3786" spans="1:7" ht="12.75" x14ac:dyDescent="0.2">
      <c r="A3786" s="78"/>
      <c r="B3786" s="78"/>
      <c r="C3786" s="78"/>
      <c r="D3786" s="78"/>
      <c r="E3786" s="80">
        <f ca="1">IFERROR(__xludf.DUMMYFUNCTION("""COMPUTED_VALUE"""),0)</f>
        <v>0</v>
      </c>
      <c r="F3786" s="77"/>
      <c r="G3786" s="77"/>
    </row>
    <row r="3787" spans="1:7" ht="12.75" x14ac:dyDescent="0.2">
      <c r="A3787" s="78"/>
      <c r="B3787" s="78"/>
      <c r="C3787" s="78"/>
      <c r="D3787" s="78"/>
      <c r="E3787" s="80">
        <f ca="1">IFERROR(__xludf.DUMMYFUNCTION("""COMPUTED_VALUE"""),0)</f>
        <v>0</v>
      </c>
      <c r="F3787" s="77"/>
      <c r="G3787" s="77"/>
    </row>
    <row r="3788" spans="1:7" ht="12.75" x14ac:dyDescent="0.2">
      <c r="A3788" s="78"/>
      <c r="B3788" s="78"/>
      <c r="C3788" s="78"/>
      <c r="D3788" s="78"/>
      <c r="E3788" s="80">
        <f ca="1">IFERROR(__xludf.DUMMYFUNCTION("""COMPUTED_VALUE"""),0)</f>
        <v>0</v>
      </c>
      <c r="F3788" s="77"/>
      <c r="G3788" s="77"/>
    </row>
    <row r="3789" spans="1:7" ht="12.75" x14ac:dyDescent="0.2">
      <c r="A3789" s="78"/>
      <c r="B3789" s="78"/>
      <c r="C3789" s="78"/>
      <c r="D3789" s="78"/>
      <c r="E3789" s="80">
        <f ca="1">IFERROR(__xludf.DUMMYFUNCTION("""COMPUTED_VALUE"""),0)</f>
        <v>0</v>
      </c>
      <c r="F3789" s="77"/>
      <c r="G3789" s="77"/>
    </row>
    <row r="3790" spans="1:7" ht="12.75" x14ac:dyDescent="0.2">
      <c r="A3790" s="78"/>
      <c r="B3790" s="78"/>
      <c r="C3790" s="78"/>
      <c r="D3790" s="78"/>
      <c r="E3790" s="80">
        <f ca="1">IFERROR(__xludf.DUMMYFUNCTION("""COMPUTED_VALUE"""),0)</f>
        <v>0</v>
      </c>
      <c r="F3790" s="77"/>
      <c r="G3790" s="77"/>
    </row>
    <row r="3791" spans="1:7" ht="12.75" x14ac:dyDescent="0.2">
      <c r="A3791" s="78"/>
      <c r="B3791" s="78"/>
      <c r="C3791" s="78"/>
      <c r="D3791" s="78"/>
      <c r="E3791" s="80">
        <f ca="1">IFERROR(__xludf.DUMMYFUNCTION("""COMPUTED_VALUE"""),0)</f>
        <v>0</v>
      </c>
      <c r="F3791" s="77"/>
      <c r="G3791" s="77"/>
    </row>
    <row r="3792" spans="1:7" ht="12.75" x14ac:dyDescent="0.2">
      <c r="A3792" s="78"/>
      <c r="B3792" s="78"/>
      <c r="C3792" s="78"/>
      <c r="D3792" s="78"/>
      <c r="E3792" s="80">
        <f ca="1">IFERROR(__xludf.DUMMYFUNCTION("""COMPUTED_VALUE"""),0)</f>
        <v>0</v>
      </c>
      <c r="F3792" s="77"/>
      <c r="G3792" s="77"/>
    </row>
    <row r="3793" spans="1:7" ht="12.75" x14ac:dyDescent="0.2">
      <c r="A3793" s="78"/>
      <c r="B3793" s="78"/>
      <c r="C3793" s="78"/>
      <c r="D3793" s="78"/>
      <c r="E3793" s="80">
        <f ca="1">IFERROR(__xludf.DUMMYFUNCTION("""COMPUTED_VALUE"""),0)</f>
        <v>0</v>
      </c>
      <c r="F3793" s="77"/>
      <c r="G3793" s="77"/>
    </row>
    <row r="3794" spans="1:7" ht="12.75" x14ac:dyDescent="0.2">
      <c r="A3794" s="78"/>
      <c r="B3794" s="78"/>
      <c r="C3794" s="78"/>
      <c r="D3794" s="78"/>
      <c r="E3794" s="80">
        <f ca="1">IFERROR(__xludf.DUMMYFUNCTION("""COMPUTED_VALUE"""),0)</f>
        <v>0</v>
      </c>
      <c r="F3794" s="77"/>
      <c r="G3794" s="77"/>
    </row>
    <row r="3795" spans="1:7" ht="12.75" x14ac:dyDescent="0.2">
      <c r="A3795" s="78"/>
      <c r="B3795" s="78"/>
      <c r="C3795" s="78"/>
      <c r="D3795" s="78"/>
      <c r="E3795" s="80">
        <f ca="1">IFERROR(__xludf.DUMMYFUNCTION("""COMPUTED_VALUE"""),0)</f>
        <v>0</v>
      </c>
      <c r="F3795" s="77"/>
      <c r="G3795" s="77"/>
    </row>
    <row r="3796" spans="1:7" ht="12.75" x14ac:dyDescent="0.2">
      <c r="A3796" s="78"/>
      <c r="B3796" s="78"/>
      <c r="C3796" s="78"/>
      <c r="D3796" s="78"/>
      <c r="E3796" s="80">
        <f ca="1">IFERROR(__xludf.DUMMYFUNCTION("""COMPUTED_VALUE"""),0)</f>
        <v>0</v>
      </c>
      <c r="F3796" s="77"/>
      <c r="G3796" s="77"/>
    </row>
    <row r="3797" spans="1:7" ht="12.75" x14ac:dyDescent="0.2">
      <c r="A3797" s="78"/>
      <c r="B3797" s="78"/>
      <c r="C3797" s="78"/>
      <c r="D3797" s="78"/>
      <c r="E3797" s="80">
        <f ca="1">IFERROR(__xludf.DUMMYFUNCTION("""COMPUTED_VALUE"""),0)</f>
        <v>0</v>
      </c>
      <c r="F3797" s="77"/>
      <c r="G3797" s="77"/>
    </row>
    <row r="3798" spans="1:7" ht="12.75" x14ac:dyDescent="0.2">
      <c r="A3798" s="78"/>
      <c r="B3798" s="78"/>
      <c r="C3798" s="78"/>
      <c r="D3798" s="78"/>
      <c r="E3798" s="80">
        <f ca="1">IFERROR(__xludf.DUMMYFUNCTION("""COMPUTED_VALUE"""),0)</f>
        <v>0</v>
      </c>
      <c r="F3798" s="77"/>
      <c r="G3798" s="77"/>
    </row>
    <row r="3799" spans="1:7" ht="12.75" x14ac:dyDescent="0.2">
      <c r="A3799" s="78"/>
      <c r="B3799" s="78"/>
      <c r="C3799" s="78"/>
      <c r="D3799" s="78"/>
      <c r="E3799" s="80">
        <f ca="1">IFERROR(__xludf.DUMMYFUNCTION("""COMPUTED_VALUE"""),0)</f>
        <v>0</v>
      </c>
      <c r="F3799" s="77"/>
      <c r="G3799" s="77"/>
    </row>
    <row r="3800" spans="1:7" ht="12.75" x14ac:dyDescent="0.2">
      <c r="A3800" s="78"/>
      <c r="B3800" s="78"/>
      <c r="C3800" s="78"/>
      <c r="D3800" s="78"/>
      <c r="E3800" s="80">
        <f ca="1">IFERROR(__xludf.DUMMYFUNCTION("""COMPUTED_VALUE"""),0)</f>
        <v>0</v>
      </c>
      <c r="F3800" s="77"/>
      <c r="G3800" s="77"/>
    </row>
    <row r="3801" spans="1:7" ht="12.75" x14ac:dyDescent="0.2">
      <c r="A3801" s="78"/>
      <c r="B3801" s="78"/>
      <c r="C3801" s="78"/>
      <c r="D3801" s="78"/>
      <c r="E3801" s="80">
        <f ca="1">IFERROR(__xludf.DUMMYFUNCTION("""COMPUTED_VALUE"""),0)</f>
        <v>0</v>
      </c>
      <c r="F3801" s="77"/>
      <c r="G3801" s="77"/>
    </row>
    <row r="3802" spans="1:7" ht="12.75" x14ac:dyDescent="0.2">
      <c r="A3802" s="78"/>
      <c r="B3802" s="78"/>
      <c r="C3802" s="78"/>
      <c r="D3802" s="78"/>
      <c r="E3802" s="80">
        <f ca="1">IFERROR(__xludf.DUMMYFUNCTION("""COMPUTED_VALUE"""),0)</f>
        <v>0</v>
      </c>
      <c r="F3802" s="77"/>
      <c r="G3802" s="77"/>
    </row>
    <row r="3803" spans="1:7" ht="12.75" x14ac:dyDescent="0.2">
      <c r="A3803" s="78"/>
      <c r="B3803" s="78"/>
      <c r="C3803" s="78"/>
      <c r="D3803" s="78"/>
      <c r="E3803" s="80">
        <f ca="1">IFERROR(__xludf.DUMMYFUNCTION("""COMPUTED_VALUE"""),0)</f>
        <v>0</v>
      </c>
      <c r="F3803" s="77"/>
      <c r="G3803" s="77"/>
    </row>
    <row r="3804" spans="1:7" ht="12.75" x14ac:dyDescent="0.2">
      <c r="A3804" s="78"/>
      <c r="B3804" s="78"/>
      <c r="C3804" s="78"/>
      <c r="D3804" s="78"/>
      <c r="E3804" s="80">
        <f ca="1">IFERROR(__xludf.DUMMYFUNCTION("""COMPUTED_VALUE"""),0)</f>
        <v>0</v>
      </c>
      <c r="F3804" s="77"/>
      <c r="G3804" s="77"/>
    </row>
    <row r="3805" spans="1:7" ht="12.75" x14ac:dyDescent="0.2">
      <c r="A3805" s="78"/>
      <c r="B3805" s="78"/>
      <c r="C3805" s="78"/>
      <c r="D3805" s="78"/>
      <c r="E3805" s="80">
        <f ca="1">IFERROR(__xludf.DUMMYFUNCTION("""COMPUTED_VALUE"""),0)</f>
        <v>0</v>
      </c>
      <c r="F3805" s="77"/>
      <c r="G3805" s="77"/>
    </row>
    <row r="3806" spans="1:7" ht="12.75" x14ac:dyDescent="0.2">
      <c r="A3806" s="78"/>
      <c r="B3806" s="78"/>
      <c r="C3806" s="78"/>
      <c r="D3806" s="78"/>
      <c r="E3806" s="80">
        <f ca="1">IFERROR(__xludf.DUMMYFUNCTION("""COMPUTED_VALUE"""),0)</f>
        <v>0</v>
      </c>
      <c r="F3806" s="77"/>
      <c r="G3806" s="77"/>
    </row>
    <row r="3807" spans="1:7" ht="12.75" x14ac:dyDescent="0.2">
      <c r="A3807" s="78"/>
      <c r="B3807" s="78"/>
      <c r="C3807" s="78"/>
      <c r="D3807" s="78"/>
      <c r="E3807" s="80">
        <f ca="1">IFERROR(__xludf.DUMMYFUNCTION("""COMPUTED_VALUE"""),0)</f>
        <v>0</v>
      </c>
      <c r="F3807" s="77"/>
      <c r="G3807" s="77"/>
    </row>
    <row r="3808" spans="1:7" ht="12.75" x14ac:dyDescent="0.2">
      <c r="A3808" s="78"/>
      <c r="B3808" s="78"/>
      <c r="C3808" s="78"/>
      <c r="D3808" s="78"/>
      <c r="E3808" s="80">
        <f ca="1">IFERROR(__xludf.DUMMYFUNCTION("""COMPUTED_VALUE"""),0)</f>
        <v>0</v>
      </c>
      <c r="F3808" s="77"/>
      <c r="G3808" s="77"/>
    </row>
    <row r="3809" spans="1:7" ht="12.75" x14ac:dyDescent="0.2">
      <c r="A3809" s="78"/>
      <c r="B3809" s="78"/>
      <c r="C3809" s="78"/>
      <c r="D3809" s="78"/>
      <c r="E3809" s="80">
        <f ca="1">IFERROR(__xludf.DUMMYFUNCTION("""COMPUTED_VALUE"""),0)</f>
        <v>0</v>
      </c>
      <c r="F3809" s="77"/>
      <c r="G3809" s="77"/>
    </row>
    <row r="3810" spans="1:7" ht="12.75" x14ac:dyDescent="0.2">
      <c r="A3810" s="78"/>
      <c r="B3810" s="78"/>
      <c r="C3810" s="78"/>
      <c r="D3810" s="78"/>
      <c r="E3810" s="80">
        <f ca="1">IFERROR(__xludf.DUMMYFUNCTION("""COMPUTED_VALUE"""),0)</f>
        <v>0</v>
      </c>
      <c r="F3810" s="77"/>
      <c r="G3810" s="77"/>
    </row>
    <row r="3811" spans="1:7" ht="12.75" x14ac:dyDescent="0.2">
      <c r="A3811" s="78"/>
      <c r="B3811" s="78"/>
      <c r="C3811" s="78"/>
      <c r="D3811" s="78"/>
      <c r="E3811" s="80">
        <f ca="1">IFERROR(__xludf.DUMMYFUNCTION("""COMPUTED_VALUE"""),0)</f>
        <v>0</v>
      </c>
      <c r="F3811" s="77"/>
      <c r="G3811" s="77"/>
    </row>
    <row r="3812" spans="1:7" ht="12.75" x14ac:dyDescent="0.2">
      <c r="A3812" s="78"/>
      <c r="B3812" s="78"/>
      <c r="C3812" s="78"/>
      <c r="D3812" s="78"/>
      <c r="E3812" s="80">
        <f ca="1">IFERROR(__xludf.DUMMYFUNCTION("""COMPUTED_VALUE"""),0)</f>
        <v>0</v>
      </c>
      <c r="F3812" s="77"/>
      <c r="G3812" s="77"/>
    </row>
    <row r="3813" spans="1:7" ht="12.75" x14ac:dyDescent="0.2">
      <c r="A3813" s="78"/>
      <c r="B3813" s="78"/>
      <c r="C3813" s="78"/>
      <c r="D3813" s="78"/>
      <c r="E3813" s="80">
        <f ca="1">IFERROR(__xludf.DUMMYFUNCTION("""COMPUTED_VALUE"""),0)</f>
        <v>0</v>
      </c>
      <c r="F3813" s="77"/>
      <c r="G3813" s="77"/>
    </row>
    <row r="3814" spans="1:7" ht="12.75" x14ac:dyDescent="0.2">
      <c r="A3814" s="78"/>
      <c r="B3814" s="78"/>
      <c r="C3814" s="78"/>
      <c r="D3814" s="78"/>
      <c r="E3814" s="80">
        <f ca="1">IFERROR(__xludf.DUMMYFUNCTION("""COMPUTED_VALUE"""),0)</f>
        <v>0</v>
      </c>
      <c r="F3814" s="77"/>
      <c r="G3814" s="77"/>
    </row>
    <row r="3815" spans="1:7" ht="12.75" x14ac:dyDescent="0.2">
      <c r="A3815" s="78"/>
      <c r="B3815" s="78"/>
      <c r="C3815" s="78"/>
      <c r="D3815" s="78"/>
      <c r="E3815" s="80">
        <f ca="1">IFERROR(__xludf.DUMMYFUNCTION("""COMPUTED_VALUE"""),0)</f>
        <v>0</v>
      </c>
      <c r="F3815" s="77"/>
      <c r="G3815" s="77"/>
    </row>
    <row r="3816" spans="1:7" ht="12.75" x14ac:dyDescent="0.2">
      <c r="A3816" s="78"/>
      <c r="B3816" s="78"/>
      <c r="C3816" s="78"/>
      <c r="D3816" s="78"/>
      <c r="E3816" s="80">
        <f ca="1">IFERROR(__xludf.DUMMYFUNCTION("""COMPUTED_VALUE"""),0)</f>
        <v>0</v>
      </c>
      <c r="F3816" s="77"/>
      <c r="G3816" s="77"/>
    </row>
    <row r="3817" spans="1:7" ht="12.75" x14ac:dyDescent="0.2">
      <c r="A3817" s="78"/>
      <c r="B3817" s="78"/>
      <c r="C3817" s="78"/>
      <c r="D3817" s="78"/>
      <c r="E3817" s="80">
        <f ca="1">IFERROR(__xludf.DUMMYFUNCTION("""COMPUTED_VALUE"""),0)</f>
        <v>0</v>
      </c>
      <c r="F3817" s="77"/>
      <c r="G3817" s="77"/>
    </row>
    <row r="3818" spans="1:7" ht="12.75" x14ac:dyDescent="0.2">
      <c r="A3818" s="78"/>
      <c r="B3818" s="78"/>
      <c r="C3818" s="78"/>
      <c r="D3818" s="78"/>
      <c r="E3818" s="80">
        <f ca="1">IFERROR(__xludf.DUMMYFUNCTION("""COMPUTED_VALUE"""),0)</f>
        <v>0</v>
      </c>
      <c r="F3818" s="77"/>
      <c r="G3818" s="77"/>
    </row>
    <row r="3819" spans="1:7" ht="12.75" x14ac:dyDescent="0.2">
      <c r="A3819" s="78"/>
      <c r="B3819" s="78"/>
      <c r="C3819" s="78"/>
      <c r="D3819" s="78"/>
      <c r="E3819" s="80">
        <f ca="1">IFERROR(__xludf.DUMMYFUNCTION("""COMPUTED_VALUE"""),0)</f>
        <v>0</v>
      </c>
      <c r="F3819" s="77"/>
      <c r="G3819" s="77"/>
    </row>
    <row r="3820" spans="1:7" ht="12.75" x14ac:dyDescent="0.2">
      <c r="A3820" s="78"/>
      <c r="B3820" s="78"/>
      <c r="C3820" s="78"/>
      <c r="D3820" s="78"/>
      <c r="E3820" s="80">
        <f ca="1">IFERROR(__xludf.DUMMYFUNCTION("""COMPUTED_VALUE"""),0)</f>
        <v>0</v>
      </c>
      <c r="F3820" s="77"/>
      <c r="G3820" s="77"/>
    </row>
    <row r="3821" spans="1:7" ht="12.75" x14ac:dyDescent="0.2">
      <c r="A3821" s="78"/>
      <c r="B3821" s="78"/>
      <c r="C3821" s="78"/>
      <c r="D3821" s="78"/>
      <c r="E3821" s="80">
        <f ca="1">IFERROR(__xludf.DUMMYFUNCTION("""COMPUTED_VALUE"""),0)</f>
        <v>0</v>
      </c>
      <c r="F3821" s="77"/>
      <c r="G3821" s="77"/>
    </row>
    <row r="3822" spans="1:7" ht="12.75" x14ac:dyDescent="0.2">
      <c r="A3822" s="78"/>
      <c r="B3822" s="78"/>
      <c r="C3822" s="78"/>
      <c r="D3822" s="78"/>
      <c r="E3822" s="80">
        <f ca="1">IFERROR(__xludf.DUMMYFUNCTION("""COMPUTED_VALUE"""),0)</f>
        <v>0</v>
      </c>
      <c r="F3822" s="77"/>
      <c r="G3822" s="77"/>
    </row>
    <row r="3823" spans="1:7" ht="12.75" x14ac:dyDescent="0.2">
      <c r="A3823" s="78"/>
      <c r="B3823" s="78"/>
      <c r="C3823" s="78"/>
      <c r="D3823" s="78"/>
      <c r="E3823" s="80">
        <f ca="1">IFERROR(__xludf.DUMMYFUNCTION("""COMPUTED_VALUE"""),0)</f>
        <v>0</v>
      </c>
      <c r="F3823" s="77"/>
      <c r="G3823" s="77"/>
    </row>
    <row r="3824" spans="1:7" ht="12.75" x14ac:dyDescent="0.2">
      <c r="A3824" s="78"/>
      <c r="B3824" s="78"/>
      <c r="C3824" s="78"/>
      <c r="D3824" s="78"/>
      <c r="E3824" s="80">
        <f ca="1">IFERROR(__xludf.DUMMYFUNCTION("""COMPUTED_VALUE"""),0)</f>
        <v>0</v>
      </c>
      <c r="F3824" s="77"/>
      <c r="G3824" s="77"/>
    </row>
    <row r="3825" spans="1:7" ht="12.75" x14ac:dyDescent="0.2">
      <c r="A3825" s="78"/>
      <c r="B3825" s="78"/>
      <c r="C3825" s="78"/>
      <c r="D3825" s="78"/>
      <c r="E3825" s="80">
        <f ca="1">IFERROR(__xludf.DUMMYFUNCTION("""COMPUTED_VALUE"""),0)</f>
        <v>0</v>
      </c>
      <c r="F3825" s="77"/>
      <c r="G3825" s="77"/>
    </row>
    <row r="3826" spans="1:7" ht="12.75" x14ac:dyDescent="0.2">
      <c r="A3826" s="78"/>
      <c r="B3826" s="78"/>
      <c r="C3826" s="78"/>
      <c r="D3826" s="78"/>
      <c r="E3826" s="80">
        <f ca="1">IFERROR(__xludf.DUMMYFUNCTION("""COMPUTED_VALUE"""),0)</f>
        <v>0</v>
      </c>
      <c r="F3826" s="77"/>
      <c r="G3826" s="77"/>
    </row>
    <row r="3827" spans="1:7" ht="12.75" x14ac:dyDescent="0.2">
      <c r="A3827" s="78"/>
      <c r="B3827" s="78"/>
      <c r="C3827" s="78"/>
      <c r="D3827" s="78"/>
      <c r="E3827" s="80">
        <f ca="1">IFERROR(__xludf.DUMMYFUNCTION("""COMPUTED_VALUE"""),0)</f>
        <v>0</v>
      </c>
      <c r="F3827" s="77"/>
      <c r="G3827" s="77"/>
    </row>
    <row r="3828" spans="1:7" ht="12.75" x14ac:dyDescent="0.2">
      <c r="A3828" s="78"/>
      <c r="B3828" s="78"/>
      <c r="C3828" s="78"/>
      <c r="D3828" s="78"/>
      <c r="E3828" s="80">
        <f ca="1">IFERROR(__xludf.DUMMYFUNCTION("""COMPUTED_VALUE"""),0)</f>
        <v>0</v>
      </c>
      <c r="F3828" s="77"/>
      <c r="G3828" s="77"/>
    </row>
    <row r="3829" spans="1:7" ht="12.75" x14ac:dyDescent="0.2">
      <c r="A3829" s="78"/>
      <c r="B3829" s="78"/>
      <c r="C3829" s="78"/>
      <c r="D3829" s="78"/>
      <c r="E3829" s="80">
        <f ca="1">IFERROR(__xludf.DUMMYFUNCTION("""COMPUTED_VALUE"""),0)</f>
        <v>0</v>
      </c>
      <c r="F3829" s="77"/>
      <c r="G3829" s="77"/>
    </row>
    <row r="3830" spans="1:7" ht="12.75" x14ac:dyDescent="0.2">
      <c r="A3830" s="78"/>
      <c r="B3830" s="78"/>
      <c r="C3830" s="78"/>
      <c r="D3830" s="78"/>
      <c r="E3830" s="80">
        <f ca="1">IFERROR(__xludf.DUMMYFUNCTION("""COMPUTED_VALUE"""),0)</f>
        <v>0</v>
      </c>
      <c r="F3830" s="77"/>
      <c r="G3830" s="77"/>
    </row>
    <row r="3831" spans="1:7" ht="12.75" x14ac:dyDescent="0.2">
      <c r="A3831" s="78"/>
      <c r="B3831" s="78"/>
      <c r="C3831" s="78"/>
      <c r="D3831" s="78"/>
      <c r="E3831" s="80">
        <f ca="1">IFERROR(__xludf.DUMMYFUNCTION("""COMPUTED_VALUE"""),0)</f>
        <v>0</v>
      </c>
      <c r="F3831" s="77"/>
      <c r="G3831" s="77"/>
    </row>
    <row r="3832" spans="1:7" ht="12.75" x14ac:dyDescent="0.2">
      <c r="A3832" s="78"/>
      <c r="B3832" s="78"/>
      <c r="C3832" s="78"/>
      <c r="D3832" s="78"/>
      <c r="E3832" s="80">
        <f ca="1">IFERROR(__xludf.DUMMYFUNCTION("""COMPUTED_VALUE"""),0)</f>
        <v>0</v>
      </c>
      <c r="F3832" s="77"/>
      <c r="G3832" s="77"/>
    </row>
    <row r="3833" spans="1:7" ht="12.75" x14ac:dyDescent="0.2">
      <c r="A3833" s="78"/>
      <c r="B3833" s="78"/>
      <c r="C3833" s="78"/>
      <c r="D3833" s="78"/>
      <c r="E3833" s="80">
        <f ca="1">IFERROR(__xludf.DUMMYFUNCTION("""COMPUTED_VALUE"""),0)</f>
        <v>0</v>
      </c>
      <c r="F3833" s="77"/>
      <c r="G3833" s="77"/>
    </row>
    <row r="3834" spans="1:7" ht="12.75" x14ac:dyDescent="0.2">
      <c r="A3834" s="78"/>
      <c r="B3834" s="78"/>
      <c r="C3834" s="78"/>
      <c r="D3834" s="78"/>
      <c r="E3834" s="80">
        <f ca="1">IFERROR(__xludf.DUMMYFUNCTION("""COMPUTED_VALUE"""),0)</f>
        <v>0</v>
      </c>
      <c r="F3834" s="77"/>
      <c r="G3834" s="77"/>
    </row>
    <row r="3835" spans="1:7" ht="12.75" x14ac:dyDescent="0.2">
      <c r="A3835" s="78"/>
      <c r="B3835" s="78"/>
      <c r="C3835" s="78"/>
      <c r="D3835" s="78"/>
      <c r="E3835" s="80">
        <f ca="1">IFERROR(__xludf.DUMMYFUNCTION("""COMPUTED_VALUE"""),0)</f>
        <v>0</v>
      </c>
      <c r="F3835" s="77"/>
      <c r="G3835" s="77"/>
    </row>
    <row r="3836" spans="1:7" ht="12.75" x14ac:dyDescent="0.2">
      <c r="A3836" s="78"/>
      <c r="B3836" s="78"/>
      <c r="C3836" s="78"/>
      <c r="D3836" s="78"/>
      <c r="E3836" s="80">
        <f ca="1">IFERROR(__xludf.DUMMYFUNCTION("""COMPUTED_VALUE"""),0)</f>
        <v>0</v>
      </c>
      <c r="F3836" s="77"/>
      <c r="G3836" s="77"/>
    </row>
    <row r="3837" spans="1:7" ht="12.75" x14ac:dyDescent="0.2">
      <c r="A3837" s="78"/>
      <c r="B3837" s="78"/>
      <c r="C3837" s="78"/>
      <c r="D3837" s="78"/>
      <c r="E3837" s="80">
        <f ca="1">IFERROR(__xludf.DUMMYFUNCTION("""COMPUTED_VALUE"""),0)</f>
        <v>0</v>
      </c>
      <c r="F3837" s="77"/>
      <c r="G3837" s="77"/>
    </row>
    <row r="3838" spans="1:7" ht="12.75" x14ac:dyDescent="0.2">
      <c r="A3838" s="78"/>
      <c r="B3838" s="78"/>
      <c r="C3838" s="78"/>
      <c r="D3838" s="78"/>
      <c r="E3838" s="80">
        <f ca="1">IFERROR(__xludf.DUMMYFUNCTION("""COMPUTED_VALUE"""),0)</f>
        <v>0</v>
      </c>
      <c r="F3838" s="77"/>
      <c r="G3838" s="77"/>
    </row>
    <row r="3839" spans="1:7" ht="12.75" x14ac:dyDescent="0.2">
      <c r="A3839" s="78"/>
      <c r="B3839" s="78"/>
      <c r="C3839" s="78"/>
      <c r="D3839" s="78"/>
      <c r="E3839" s="80">
        <f ca="1">IFERROR(__xludf.DUMMYFUNCTION("""COMPUTED_VALUE"""),0)</f>
        <v>0</v>
      </c>
      <c r="F3839" s="77"/>
      <c r="G3839" s="77"/>
    </row>
    <row r="3840" spans="1:7" ht="12.75" x14ac:dyDescent="0.2">
      <c r="A3840" s="78"/>
      <c r="B3840" s="78"/>
      <c r="C3840" s="78"/>
      <c r="D3840" s="78"/>
      <c r="E3840" s="80">
        <f ca="1">IFERROR(__xludf.DUMMYFUNCTION("""COMPUTED_VALUE"""),0)</f>
        <v>0</v>
      </c>
      <c r="F3840" s="77"/>
      <c r="G3840" s="77"/>
    </row>
    <row r="3841" spans="1:7" ht="12.75" x14ac:dyDescent="0.2">
      <c r="A3841" s="78"/>
      <c r="B3841" s="78"/>
      <c r="C3841" s="78"/>
      <c r="D3841" s="78"/>
      <c r="E3841" s="80">
        <f ca="1">IFERROR(__xludf.DUMMYFUNCTION("""COMPUTED_VALUE"""),0)</f>
        <v>0</v>
      </c>
      <c r="F3841" s="77"/>
      <c r="G3841" s="77"/>
    </row>
    <row r="3842" spans="1:7" ht="12.75" x14ac:dyDescent="0.2">
      <c r="A3842" s="78"/>
      <c r="B3842" s="78"/>
      <c r="C3842" s="78"/>
      <c r="D3842" s="78"/>
      <c r="E3842" s="80">
        <f ca="1">IFERROR(__xludf.DUMMYFUNCTION("""COMPUTED_VALUE"""),0)</f>
        <v>0</v>
      </c>
      <c r="F3842" s="77"/>
      <c r="G3842" s="77"/>
    </row>
    <row r="3843" spans="1:7" ht="12.75" x14ac:dyDescent="0.2">
      <c r="A3843" s="78"/>
      <c r="B3843" s="78"/>
      <c r="C3843" s="78"/>
      <c r="D3843" s="78"/>
      <c r="E3843" s="80">
        <f ca="1">IFERROR(__xludf.DUMMYFUNCTION("""COMPUTED_VALUE"""),0)</f>
        <v>0</v>
      </c>
      <c r="F3843" s="77"/>
      <c r="G3843" s="77"/>
    </row>
    <row r="3844" spans="1:7" ht="12.75" x14ac:dyDescent="0.2">
      <c r="A3844" s="78"/>
      <c r="B3844" s="78"/>
      <c r="C3844" s="78"/>
      <c r="D3844" s="78"/>
      <c r="E3844" s="80">
        <f ca="1">IFERROR(__xludf.DUMMYFUNCTION("""COMPUTED_VALUE"""),0)</f>
        <v>0</v>
      </c>
      <c r="F3844" s="77"/>
      <c r="G3844" s="77"/>
    </row>
    <row r="3845" spans="1:7" ht="12.75" x14ac:dyDescent="0.2">
      <c r="A3845" s="78"/>
      <c r="B3845" s="78"/>
      <c r="C3845" s="78"/>
      <c r="D3845" s="78"/>
      <c r="E3845" s="80">
        <f ca="1">IFERROR(__xludf.DUMMYFUNCTION("""COMPUTED_VALUE"""),0)</f>
        <v>0</v>
      </c>
      <c r="F3845" s="77"/>
      <c r="G3845" s="77"/>
    </row>
    <row r="3846" spans="1:7" ht="12.75" x14ac:dyDescent="0.2">
      <c r="A3846" s="78"/>
      <c r="B3846" s="78"/>
      <c r="C3846" s="78"/>
      <c r="D3846" s="78"/>
      <c r="E3846" s="80">
        <f ca="1">IFERROR(__xludf.DUMMYFUNCTION("""COMPUTED_VALUE"""),0)</f>
        <v>0</v>
      </c>
      <c r="F3846" s="77"/>
      <c r="G3846" s="77"/>
    </row>
    <row r="3847" spans="1:7" ht="12.75" x14ac:dyDescent="0.2">
      <c r="A3847" s="78"/>
      <c r="B3847" s="78"/>
      <c r="C3847" s="78"/>
      <c r="D3847" s="78"/>
      <c r="E3847" s="80">
        <f ca="1">IFERROR(__xludf.DUMMYFUNCTION("""COMPUTED_VALUE"""),0)</f>
        <v>0</v>
      </c>
      <c r="F3847" s="77"/>
      <c r="G3847" s="77"/>
    </row>
    <row r="3848" spans="1:7" ht="12.75" x14ac:dyDescent="0.2">
      <c r="A3848" s="78"/>
      <c r="B3848" s="78"/>
      <c r="C3848" s="78"/>
      <c r="D3848" s="78"/>
      <c r="E3848" s="80">
        <f ca="1">IFERROR(__xludf.DUMMYFUNCTION("""COMPUTED_VALUE"""),0)</f>
        <v>0</v>
      </c>
      <c r="F3848" s="77"/>
      <c r="G3848" s="77"/>
    </row>
    <row r="3849" spans="1:7" ht="12.75" x14ac:dyDescent="0.2">
      <c r="A3849" s="78"/>
      <c r="B3849" s="78"/>
      <c r="C3849" s="78"/>
      <c r="D3849" s="78"/>
      <c r="E3849" s="80">
        <f ca="1">IFERROR(__xludf.DUMMYFUNCTION("""COMPUTED_VALUE"""),0)</f>
        <v>0</v>
      </c>
      <c r="F3849" s="77"/>
      <c r="G3849" s="77"/>
    </row>
    <row r="3850" spans="1:7" ht="12.75" x14ac:dyDescent="0.2">
      <c r="A3850" s="78"/>
      <c r="B3850" s="78"/>
      <c r="C3850" s="78"/>
      <c r="D3850" s="78"/>
      <c r="E3850" s="80">
        <f ca="1">IFERROR(__xludf.DUMMYFUNCTION("""COMPUTED_VALUE"""),0)</f>
        <v>0</v>
      </c>
      <c r="F3850" s="77"/>
      <c r="G3850" s="77"/>
    </row>
    <row r="3851" spans="1:7" ht="12.75" x14ac:dyDescent="0.2">
      <c r="A3851" s="78"/>
      <c r="B3851" s="78"/>
      <c r="C3851" s="78"/>
      <c r="D3851" s="78"/>
      <c r="E3851" s="80">
        <f ca="1">IFERROR(__xludf.DUMMYFUNCTION("""COMPUTED_VALUE"""),0)</f>
        <v>0</v>
      </c>
      <c r="F3851" s="77"/>
      <c r="G3851" s="77"/>
    </row>
    <row r="3852" spans="1:7" ht="12.75" x14ac:dyDescent="0.2">
      <c r="A3852" s="78"/>
      <c r="B3852" s="78"/>
      <c r="C3852" s="78"/>
      <c r="D3852" s="78"/>
      <c r="E3852" s="80">
        <f ca="1">IFERROR(__xludf.DUMMYFUNCTION("""COMPUTED_VALUE"""),0)</f>
        <v>0</v>
      </c>
      <c r="F3852" s="77"/>
      <c r="G3852" s="77"/>
    </row>
    <row r="3853" spans="1:7" ht="12.75" x14ac:dyDescent="0.2">
      <c r="A3853" s="78"/>
      <c r="B3853" s="78"/>
      <c r="C3853" s="78"/>
      <c r="D3853" s="78"/>
      <c r="E3853" s="80">
        <f ca="1">IFERROR(__xludf.DUMMYFUNCTION("""COMPUTED_VALUE"""),0)</f>
        <v>0</v>
      </c>
      <c r="F3853" s="77"/>
      <c r="G3853" s="77"/>
    </row>
    <row r="3854" spans="1:7" ht="12.75" x14ac:dyDescent="0.2">
      <c r="A3854" s="78"/>
      <c r="B3854" s="78"/>
      <c r="C3854" s="78"/>
      <c r="D3854" s="78"/>
      <c r="E3854" s="80">
        <f ca="1">IFERROR(__xludf.DUMMYFUNCTION("""COMPUTED_VALUE"""),0)</f>
        <v>0</v>
      </c>
      <c r="F3854" s="77"/>
      <c r="G3854" s="77"/>
    </row>
    <row r="3855" spans="1:7" ht="12.75" x14ac:dyDescent="0.2">
      <c r="A3855" s="78"/>
      <c r="B3855" s="78"/>
      <c r="C3855" s="78"/>
      <c r="D3855" s="78"/>
      <c r="E3855" s="80">
        <f ca="1">IFERROR(__xludf.DUMMYFUNCTION("""COMPUTED_VALUE"""),0)</f>
        <v>0</v>
      </c>
      <c r="F3855" s="77"/>
      <c r="G3855" s="77"/>
    </row>
    <row r="3856" spans="1:7" ht="12.75" x14ac:dyDescent="0.2">
      <c r="A3856" s="78"/>
      <c r="B3856" s="78"/>
      <c r="C3856" s="78"/>
      <c r="D3856" s="78"/>
      <c r="E3856" s="80">
        <f ca="1">IFERROR(__xludf.DUMMYFUNCTION("""COMPUTED_VALUE"""),0)</f>
        <v>0</v>
      </c>
      <c r="F3856" s="77"/>
      <c r="G3856" s="77"/>
    </row>
    <row r="3857" spans="1:7" ht="12.75" x14ac:dyDescent="0.2">
      <c r="A3857" s="78"/>
      <c r="B3857" s="78"/>
      <c r="C3857" s="78"/>
      <c r="D3857" s="78"/>
      <c r="E3857" s="80">
        <f ca="1">IFERROR(__xludf.DUMMYFUNCTION("""COMPUTED_VALUE"""),0)</f>
        <v>0</v>
      </c>
      <c r="F3857" s="77"/>
      <c r="G3857" s="77"/>
    </row>
    <row r="3858" spans="1:7" ht="12.75" x14ac:dyDescent="0.2">
      <c r="A3858" s="78"/>
      <c r="B3858" s="78"/>
      <c r="C3858" s="78"/>
      <c r="D3858" s="78"/>
      <c r="E3858" s="80">
        <f ca="1">IFERROR(__xludf.DUMMYFUNCTION("""COMPUTED_VALUE"""),0)</f>
        <v>0</v>
      </c>
      <c r="F3858" s="77"/>
      <c r="G3858" s="77"/>
    </row>
    <row r="3859" spans="1:7" ht="12.75" x14ac:dyDescent="0.2">
      <c r="A3859" s="78"/>
      <c r="B3859" s="78"/>
      <c r="C3859" s="78"/>
      <c r="D3859" s="78"/>
      <c r="E3859" s="80">
        <f ca="1">IFERROR(__xludf.DUMMYFUNCTION("""COMPUTED_VALUE"""),0)</f>
        <v>0</v>
      </c>
      <c r="F3859" s="77"/>
      <c r="G3859" s="77"/>
    </row>
    <row r="3860" spans="1:7" ht="12.75" x14ac:dyDescent="0.2">
      <c r="A3860" s="78"/>
      <c r="B3860" s="78"/>
      <c r="C3860" s="78"/>
      <c r="D3860" s="78"/>
      <c r="E3860" s="80">
        <f ca="1">IFERROR(__xludf.DUMMYFUNCTION("""COMPUTED_VALUE"""),0)</f>
        <v>0</v>
      </c>
      <c r="F3860" s="77"/>
      <c r="G3860" s="77"/>
    </row>
    <row r="3861" spans="1:7" ht="12.75" x14ac:dyDescent="0.2">
      <c r="A3861" s="78"/>
      <c r="B3861" s="78"/>
      <c r="C3861" s="78"/>
      <c r="D3861" s="78"/>
      <c r="E3861" s="80">
        <f ca="1">IFERROR(__xludf.DUMMYFUNCTION("""COMPUTED_VALUE"""),0)</f>
        <v>0</v>
      </c>
      <c r="F3861" s="77"/>
      <c r="G3861" s="77"/>
    </row>
    <row r="3862" spans="1:7" ht="12.75" x14ac:dyDescent="0.2">
      <c r="A3862" s="78"/>
      <c r="B3862" s="78"/>
      <c r="C3862" s="78"/>
      <c r="D3862" s="78"/>
      <c r="E3862" s="80">
        <f ca="1">IFERROR(__xludf.DUMMYFUNCTION("""COMPUTED_VALUE"""),0)</f>
        <v>0</v>
      </c>
      <c r="F3862" s="77"/>
      <c r="G3862" s="77"/>
    </row>
    <row r="3863" spans="1:7" ht="12.75" x14ac:dyDescent="0.2">
      <c r="A3863" s="78"/>
      <c r="B3863" s="78"/>
      <c r="C3863" s="78"/>
      <c r="D3863" s="78"/>
      <c r="E3863" s="80">
        <f ca="1">IFERROR(__xludf.DUMMYFUNCTION("""COMPUTED_VALUE"""),0)</f>
        <v>0</v>
      </c>
      <c r="F3863" s="77"/>
      <c r="G3863" s="77"/>
    </row>
    <row r="3864" spans="1:7" ht="12.75" x14ac:dyDescent="0.2">
      <c r="A3864" s="78"/>
      <c r="B3864" s="78"/>
      <c r="C3864" s="78"/>
      <c r="D3864" s="78"/>
      <c r="E3864" s="80">
        <f ca="1">IFERROR(__xludf.DUMMYFUNCTION("""COMPUTED_VALUE"""),0)</f>
        <v>0</v>
      </c>
      <c r="F3864" s="77"/>
      <c r="G3864" s="77"/>
    </row>
    <row r="3865" spans="1:7" ht="12.75" x14ac:dyDescent="0.2">
      <c r="A3865" s="78"/>
      <c r="B3865" s="78"/>
      <c r="C3865" s="78"/>
      <c r="D3865" s="78"/>
      <c r="E3865" s="80">
        <f ca="1">IFERROR(__xludf.DUMMYFUNCTION("""COMPUTED_VALUE"""),0)</f>
        <v>0</v>
      </c>
      <c r="F3865" s="77"/>
      <c r="G3865" s="77"/>
    </row>
    <row r="3866" spans="1:7" ht="12.75" x14ac:dyDescent="0.2">
      <c r="A3866" s="78"/>
      <c r="B3866" s="78"/>
      <c r="C3866" s="78"/>
      <c r="D3866" s="78"/>
      <c r="E3866" s="80">
        <f ca="1">IFERROR(__xludf.DUMMYFUNCTION("""COMPUTED_VALUE"""),0)</f>
        <v>0</v>
      </c>
      <c r="F3866" s="77"/>
      <c r="G3866" s="77"/>
    </row>
    <row r="3867" spans="1:7" ht="12.75" x14ac:dyDescent="0.2">
      <c r="A3867" s="78"/>
      <c r="B3867" s="78"/>
      <c r="C3867" s="78"/>
      <c r="D3867" s="78"/>
      <c r="E3867" s="80">
        <f ca="1">IFERROR(__xludf.DUMMYFUNCTION("""COMPUTED_VALUE"""),0)</f>
        <v>0</v>
      </c>
      <c r="F3867" s="77"/>
      <c r="G3867" s="77"/>
    </row>
    <row r="3868" spans="1:7" ht="12.75" x14ac:dyDescent="0.2">
      <c r="A3868" s="78"/>
      <c r="B3868" s="78"/>
      <c r="C3868" s="78"/>
      <c r="D3868" s="78"/>
      <c r="E3868" s="80">
        <f ca="1">IFERROR(__xludf.DUMMYFUNCTION("""COMPUTED_VALUE"""),0)</f>
        <v>0</v>
      </c>
      <c r="F3868" s="77"/>
      <c r="G3868" s="77"/>
    </row>
    <row r="3869" spans="1:7" ht="12.75" x14ac:dyDescent="0.2">
      <c r="A3869" s="78"/>
      <c r="B3869" s="78"/>
      <c r="C3869" s="78"/>
      <c r="D3869" s="78"/>
      <c r="E3869" s="80">
        <f ca="1">IFERROR(__xludf.DUMMYFUNCTION("""COMPUTED_VALUE"""),0)</f>
        <v>0</v>
      </c>
      <c r="F3869" s="77"/>
      <c r="G3869" s="77"/>
    </row>
    <row r="3870" spans="1:7" ht="12.75" x14ac:dyDescent="0.2">
      <c r="A3870" s="78"/>
      <c r="B3870" s="78"/>
      <c r="C3870" s="78"/>
      <c r="D3870" s="78"/>
      <c r="E3870" s="80">
        <f ca="1">IFERROR(__xludf.DUMMYFUNCTION("""COMPUTED_VALUE"""),0)</f>
        <v>0</v>
      </c>
      <c r="F3870" s="77"/>
      <c r="G3870" s="77"/>
    </row>
    <row r="3871" spans="1:7" ht="12.75" x14ac:dyDescent="0.2">
      <c r="A3871" s="78"/>
      <c r="B3871" s="78"/>
      <c r="C3871" s="78"/>
      <c r="D3871" s="78"/>
      <c r="E3871" s="80">
        <f ca="1">IFERROR(__xludf.DUMMYFUNCTION("""COMPUTED_VALUE"""),0)</f>
        <v>0</v>
      </c>
      <c r="F3871" s="77"/>
      <c r="G3871" s="77"/>
    </row>
    <row r="3872" spans="1:7" ht="12.75" x14ac:dyDescent="0.2">
      <c r="A3872" s="78"/>
      <c r="B3872" s="78"/>
      <c r="C3872" s="78"/>
      <c r="D3872" s="78"/>
      <c r="E3872" s="80">
        <f ca="1">IFERROR(__xludf.DUMMYFUNCTION("""COMPUTED_VALUE"""),0)</f>
        <v>0</v>
      </c>
      <c r="F3872" s="77"/>
      <c r="G3872" s="77"/>
    </row>
    <row r="3873" spans="1:7" ht="12.75" x14ac:dyDescent="0.2">
      <c r="A3873" s="78"/>
      <c r="B3873" s="78"/>
      <c r="C3873" s="78"/>
      <c r="D3873" s="78"/>
      <c r="E3873" s="80">
        <f ca="1">IFERROR(__xludf.DUMMYFUNCTION("""COMPUTED_VALUE"""),0)</f>
        <v>0</v>
      </c>
      <c r="F3873" s="77"/>
      <c r="G3873" s="77"/>
    </row>
    <row r="3874" spans="1:7" ht="12.75" x14ac:dyDescent="0.2">
      <c r="A3874" s="78"/>
      <c r="B3874" s="78"/>
      <c r="C3874" s="78"/>
      <c r="D3874" s="78"/>
      <c r="E3874" s="80">
        <f ca="1">IFERROR(__xludf.DUMMYFUNCTION("""COMPUTED_VALUE"""),0)</f>
        <v>0</v>
      </c>
      <c r="F3874" s="77"/>
      <c r="G3874" s="77"/>
    </row>
    <row r="3875" spans="1:7" ht="12.75" x14ac:dyDescent="0.2">
      <c r="A3875" s="78"/>
      <c r="B3875" s="78"/>
      <c r="C3875" s="78"/>
      <c r="D3875" s="78"/>
      <c r="E3875" s="80">
        <f ca="1">IFERROR(__xludf.DUMMYFUNCTION("""COMPUTED_VALUE"""),0)</f>
        <v>0</v>
      </c>
      <c r="F3875" s="77"/>
      <c r="G3875" s="77"/>
    </row>
    <row r="3876" spans="1:7" ht="12.75" x14ac:dyDescent="0.2">
      <c r="A3876" s="78"/>
      <c r="B3876" s="78"/>
      <c r="C3876" s="78"/>
      <c r="D3876" s="78"/>
      <c r="E3876" s="80">
        <f ca="1">IFERROR(__xludf.DUMMYFUNCTION("""COMPUTED_VALUE"""),0)</f>
        <v>0</v>
      </c>
      <c r="F3876" s="77"/>
      <c r="G3876" s="77"/>
    </row>
    <row r="3877" spans="1:7" ht="12.75" x14ac:dyDescent="0.2">
      <c r="A3877" s="78"/>
      <c r="B3877" s="78"/>
      <c r="C3877" s="78"/>
      <c r="D3877" s="78"/>
      <c r="E3877" s="80">
        <f ca="1">IFERROR(__xludf.DUMMYFUNCTION("""COMPUTED_VALUE"""),0)</f>
        <v>0</v>
      </c>
      <c r="F3877" s="77"/>
      <c r="G3877" s="77"/>
    </row>
    <row r="3878" spans="1:7" ht="12.75" x14ac:dyDescent="0.2">
      <c r="A3878" s="78"/>
      <c r="B3878" s="78"/>
      <c r="C3878" s="78"/>
      <c r="D3878" s="78"/>
      <c r="E3878" s="80">
        <f ca="1">IFERROR(__xludf.DUMMYFUNCTION("""COMPUTED_VALUE"""),0)</f>
        <v>0</v>
      </c>
      <c r="F3878" s="77"/>
      <c r="G3878" s="77"/>
    </row>
    <row r="3879" spans="1:7" ht="12.75" x14ac:dyDescent="0.2">
      <c r="A3879" s="78"/>
      <c r="B3879" s="78"/>
      <c r="C3879" s="78"/>
      <c r="D3879" s="78"/>
      <c r="E3879" s="80">
        <f ca="1">IFERROR(__xludf.DUMMYFUNCTION("""COMPUTED_VALUE"""),0)</f>
        <v>0</v>
      </c>
      <c r="F3879" s="77"/>
      <c r="G3879" s="77"/>
    </row>
    <row r="3880" spans="1:7" ht="12.75" x14ac:dyDescent="0.2">
      <c r="A3880" s="78"/>
      <c r="B3880" s="78"/>
      <c r="C3880" s="78"/>
      <c r="D3880" s="78"/>
      <c r="E3880" s="80">
        <f ca="1">IFERROR(__xludf.DUMMYFUNCTION("""COMPUTED_VALUE"""),0)</f>
        <v>0</v>
      </c>
      <c r="F3880" s="77"/>
      <c r="G3880" s="77"/>
    </row>
    <row r="3881" spans="1:7" ht="12.75" x14ac:dyDescent="0.2">
      <c r="A3881" s="78"/>
      <c r="B3881" s="78"/>
      <c r="C3881" s="78"/>
      <c r="D3881" s="78"/>
      <c r="E3881" s="80">
        <f ca="1">IFERROR(__xludf.DUMMYFUNCTION("""COMPUTED_VALUE"""),0)</f>
        <v>0</v>
      </c>
      <c r="F3881" s="77"/>
      <c r="G3881" s="77"/>
    </row>
    <row r="3882" spans="1:7" ht="12.75" x14ac:dyDescent="0.2">
      <c r="A3882" s="78"/>
      <c r="B3882" s="78"/>
      <c r="C3882" s="78"/>
      <c r="D3882" s="78"/>
      <c r="E3882" s="80">
        <f ca="1">IFERROR(__xludf.DUMMYFUNCTION("""COMPUTED_VALUE"""),0)</f>
        <v>0</v>
      </c>
      <c r="F3882" s="77"/>
      <c r="G3882" s="77"/>
    </row>
    <row r="3883" spans="1:7" ht="12.75" x14ac:dyDescent="0.2">
      <c r="A3883" s="78"/>
      <c r="B3883" s="78"/>
      <c r="C3883" s="78"/>
      <c r="D3883" s="78"/>
      <c r="E3883" s="80">
        <f ca="1">IFERROR(__xludf.DUMMYFUNCTION("""COMPUTED_VALUE"""),0)</f>
        <v>0</v>
      </c>
      <c r="F3883" s="77"/>
      <c r="G3883" s="77"/>
    </row>
    <row r="3884" spans="1:7" ht="12.75" x14ac:dyDescent="0.2">
      <c r="A3884" s="78"/>
      <c r="B3884" s="78"/>
      <c r="C3884" s="78"/>
      <c r="D3884" s="78"/>
      <c r="E3884" s="80">
        <f ca="1">IFERROR(__xludf.DUMMYFUNCTION("""COMPUTED_VALUE"""),0)</f>
        <v>0</v>
      </c>
      <c r="F3884" s="77"/>
      <c r="G3884" s="77"/>
    </row>
    <row r="3885" spans="1:7" ht="12.75" x14ac:dyDescent="0.2">
      <c r="A3885" s="78"/>
      <c r="B3885" s="78"/>
      <c r="C3885" s="78"/>
      <c r="D3885" s="78"/>
      <c r="E3885" s="80">
        <f ca="1">IFERROR(__xludf.DUMMYFUNCTION("""COMPUTED_VALUE"""),0)</f>
        <v>0</v>
      </c>
      <c r="F3885" s="77"/>
      <c r="G3885" s="77"/>
    </row>
    <row r="3886" spans="1:7" ht="12.75" x14ac:dyDescent="0.2">
      <c r="A3886" s="78"/>
      <c r="B3886" s="78"/>
      <c r="C3886" s="78"/>
      <c r="D3886" s="78"/>
      <c r="E3886" s="80">
        <f ca="1">IFERROR(__xludf.DUMMYFUNCTION("""COMPUTED_VALUE"""),0)</f>
        <v>0</v>
      </c>
      <c r="F3886" s="77"/>
      <c r="G3886" s="77"/>
    </row>
    <row r="3887" spans="1:7" ht="12.75" x14ac:dyDescent="0.2">
      <c r="A3887" s="78"/>
      <c r="B3887" s="78"/>
      <c r="C3887" s="78"/>
      <c r="D3887" s="78"/>
      <c r="E3887" s="80">
        <f ca="1">IFERROR(__xludf.DUMMYFUNCTION("""COMPUTED_VALUE"""),0)</f>
        <v>0</v>
      </c>
      <c r="F3887" s="77"/>
      <c r="G3887" s="77"/>
    </row>
    <row r="3888" spans="1:7" ht="12.75" x14ac:dyDescent="0.2">
      <c r="A3888" s="78"/>
      <c r="B3888" s="78"/>
      <c r="C3888" s="78"/>
      <c r="D3888" s="78"/>
      <c r="E3888" s="80">
        <f ca="1">IFERROR(__xludf.DUMMYFUNCTION("""COMPUTED_VALUE"""),0)</f>
        <v>0</v>
      </c>
      <c r="F3888" s="77"/>
      <c r="G3888" s="77"/>
    </row>
    <row r="3889" spans="1:7" ht="12.75" x14ac:dyDescent="0.2">
      <c r="A3889" s="78"/>
      <c r="B3889" s="78"/>
      <c r="C3889" s="78"/>
      <c r="D3889" s="78"/>
      <c r="E3889" s="80">
        <f ca="1">IFERROR(__xludf.DUMMYFUNCTION("""COMPUTED_VALUE"""),0)</f>
        <v>0</v>
      </c>
      <c r="F3889" s="77"/>
      <c r="G3889" s="77"/>
    </row>
    <row r="3890" spans="1:7" ht="12.75" x14ac:dyDescent="0.2">
      <c r="A3890" s="78"/>
      <c r="B3890" s="78"/>
      <c r="C3890" s="78"/>
      <c r="D3890" s="78"/>
      <c r="E3890" s="80">
        <f ca="1">IFERROR(__xludf.DUMMYFUNCTION("""COMPUTED_VALUE"""),0)</f>
        <v>0</v>
      </c>
      <c r="F3890" s="77"/>
      <c r="G3890" s="77"/>
    </row>
    <row r="3891" spans="1:7" ht="12.75" x14ac:dyDescent="0.2">
      <c r="A3891" s="78"/>
      <c r="B3891" s="78"/>
      <c r="C3891" s="78"/>
      <c r="D3891" s="78"/>
      <c r="E3891" s="80">
        <f ca="1">IFERROR(__xludf.DUMMYFUNCTION("""COMPUTED_VALUE"""),0)</f>
        <v>0</v>
      </c>
      <c r="F3891" s="77"/>
      <c r="G3891" s="77"/>
    </row>
    <row r="3892" spans="1:7" ht="12.75" x14ac:dyDescent="0.2">
      <c r="A3892" s="78"/>
      <c r="B3892" s="78"/>
      <c r="C3892" s="78"/>
      <c r="D3892" s="78"/>
      <c r="E3892" s="80">
        <f ca="1">IFERROR(__xludf.DUMMYFUNCTION("""COMPUTED_VALUE"""),0)</f>
        <v>0</v>
      </c>
      <c r="F3892" s="77"/>
      <c r="G3892" s="77"/>
    </row>
    <row r="3893" spans="1:7" ht="12.75" x14ac:dyDescent="0.2">
      <c r="A3893" s="78"/>
      <c r="B3893" s="78"/>
      <c r="C3893" s="78"/>
      <c r="D3893" s="78"/>
      <c r="E3893" s="80">
        <f ca="1">IFERROR(__xludf.DUMMYFUNCTION("""COMPUTED_VALUE"""),0)</f>
        <v>0</v>
      </c>
      <c r="F3893" s="77"/>
      <c r="G3893" s="77"/>
    </row>
    <row r="3894" spans="1:7" ht="12.75" x14ac:dyDescent="0.2">
      <c r="A3894" s="78"/>
      <c r="B3894" s="78"/>
      <c r="C3894" s="78"/>
      <c r="D3894" s="78"/>
      <c r="E3894" s="80">
        <f ca="1">IFERROR(__xludf.DUMMYFUNCTION("""COMPUTED_VALUE"""),0)</f>
        <v>0</v>
      </c>
      <c r="F3894" s="77"/>
      <c r="G3894" s="77"/>
    </row>
    <row r="3895" spans="1:7" ht="12.75" x14ac:dyDescent="0.2">
      <c r="A3895" s="78"/>
      <c r="B3895" s="78"/>
      <c r="C3895" s="78"/>
      <c r="D3895" s="78"/>
      <c r="E3895" s="80">
        <f ca="1">IFERROR(__xludf.DUMMYFUNCTION("""COMPUTED_VALUE"""),0)</f>
        <v>0</v>
      </c>
      <c r="F3895" s="77"/>
      <c r="G3895" s="77"/>
    </row>
    <row r="3896" spans="1:7" ht="12.75" x14ac:dyDescent="0.2">
      <c r="A3896" s="78"/>
      <c r="B3896" s="78"/>
      <c r="C3896" s="78"/>
      <c r="D3896" s="78"/>
      <c r="E3896" s="80">
        <f ca="1">IFERROR(__xludf.DUMMYFUNCTION("""COMPUTED_VALUE"""),0)</f>
        <v>0</v>
      </c>
      <c r="F3896" s="77"/>
      <c r="G3896" s="77"/>
    </row>
    <row r="3897" spans="1:7" ht="12.75" x14ac:dyDescent="0.2">
      <c r="A3897" s="78"/>
      <c r="B3897" s="78"/>
      <c r="C3897" s="78"/>
      <c r="D3897" s="78"/>
      <c r="E3897" s="80">
        <f ca="1">IFERROR(__xludf.DUMMYFUNCTION("""COMPUTED_VALUE"""),0)</f>
        <v>0</v>
      </c>
      <c r="F3897" s="77"/>
      <c r="G3897" s="77"/>
    </row>
    <row r="3898" spans="1:7" ht="12.75" x14ac:dyDescent="0.2">
      <c r="A3898" s="78"/>
      <c r="B3898" s="78"/>
      <c r="C3898" s="78"/>
      <c r="D3898" s="78"/>
      <c r="E3898" s="80">
        <f ca="1">IFERROR(__xludf.DUMMYFUNCTION("""COMPUTED_VALUE"""),0)</f>
        <v>0</v>
      </c>
      <c r="F3898" s="77"/>
      <c r="G3898" s="77"/>
    </row>
    <row r="3899" spans="1:7" ht="12.75" x14ac:dyDescent="0.2">
      <c r="A3899" s="78"/>
      <c r="B3899" s="78"/>
      <c r="C3899" s="78"/>
      <c r="D3899" s="78"/>
      <c r="E3899" s="80">
        <f ca="1">IFERROR(__xludf.DUMMYFUNCTION("""COMPUTED_VALUE"""),0)</f>
        <v>0</v>
      </c>
      <c r="F3899" s="77"/>
      <c r="G3899" s="77"/>
    </row>
    <row r="3900" spans="1:7" ht="12.75" x14ac:dyDescent="0.2">
      <c r="A3900" s="78"/>
      <c r="B3900" s="78"/>
      <c r="C3900" s="78"/>
      <c r="D3900" s="78"/>
      <c r="E3900" s="80">
        <f ca="1">IFERROR(__xludf.DUMMYFUNCTION("""COMPUTED_VALUE"""),0)</f>
        <v>0</v>
      </c>
      <c r="F3900" s="77"/>
      <c r="G3900" s="77"/>
    </row>
    <row r="3901" spans="1:7" ht="12.75" x14ac:dyDescent="0.2">
      <c r="A3901" s="78"/>
      <c r="B3901" s="78"/>
      <c r="C3901" s="78"/>
      <c r="D3901" s="78"/>
      <c r="E3901" s="80">
        <f ca="1">IFERROR(__xludf.DUMMYFUNCTION("""COMPUTED_VALUE"""),0)</f>
        <v>0</v>
      </c>
      <c r="F3901" s="77"/>
      <c r="G3901" s="77"/>
    </row>
    <row r="3902" spans="1:7" ht="12.75" x14ac:dyDescent="0.2">
      <c r="A3902" s="78"/>
      <c r="B3902" s="78"/>
      <c r="C3902" s="78"/>
      <c r="D3902" s="78"/>
      <c r="E3902" s="80">
        <f ca="1">IFERROR(__xludf.DUMMYFUNCTION("""COMPUTED_VALUE"""),0)</f>
        <v>0</v>
      </c>
      <c r="F3902" s="77"/>
      <c r="G3902" s="77"/>
    </row>
    <row r="3903" spans="1:7" ht="12.75" x14ac:dyDescent="0.2">
      <c r="A3903" s="78"/>
      <c r="B3903" s="78"/>
      <c r="C3903" s="78"/>
      <c r="D3903" s="78"/>
      <c r="E3903" s="80">
        <f ca="1">IFERROR(__xludf.DUMMYFUNCTION("""COMPUTED_VALUE"""),0)</f>
        <v>0</v>
      </c>
      <c r="F3903" s="77"/>
      <c r="G3903" s="77"/>
    </row>
    <row r="3904" spans="1:7" ht="12.75" x14ac:dyDescent="0.2">
      <c r="A3904" s="78"/>
      <c r="B3904" s="78"/>
      <c r="C3904" s="78"/>
      <c r="D3904" s="78"/>
      <c r="E3904" s="80">
        <f ca="1">IFERROR(__xludf.DUMMYFUNCTION("""COMPUTED_VALUE"""),0)</f>
        <v>0</v>
      </c>
      <c r="F3904" s="77"/>
      <c r="G3904" s="77"/>
    </row>
    <row r="3905" spans="1:7" ht="12.75" x14ac:dyDescent="0.2">
      <c r="A3905" s="78"/>
      <c r="B3905" s="78"/>
      <c r="C3905" s="78"/>
      <c r="D3905" s="78"/>
      <c r="E3905" s="80">
        <f ca="1">IFERROR(__xludf.DUMMYFUNCTION("""COMPUTED_VALUE"""),0)</f>
        <v>0</v>
      </c>
      <c r="F3905" s="77"/>
      <c r="G3905" s="77"/>
    </row>
    <row r="3906" spans="1:7" ht="12.75" x14ac:dyDescent="0.2">
      <c r="A3906" s="78"/>
      <c r="B3906" s="78"/>
      <c r="C3906" s="78"/>
      <c r="D3906" s="78"/>
      <c r="E3906" s="80">
        <f ca="1">IFERROR(__xludf.DUMMYFUNCTION("""COMPUTED_VALUE"""),0)</f>
        <v>0</v>
      </c>
      <c r="F3906" s="77"/>
      <c r="G3906" s="77"/>
    </row>
    <row r="3907" spans="1:7" ht="12.75" x14ac:dyDescent="0.2">
      <c r="A3907" s="78"/>
      <c r="B3907" s="78"/>
      <c r="C3907" s="78"/>
      <c r="D3907" s="78"/>
      <c r="E3907" s="80">
        <f ca="1">IFERROR(__xludf.DUMMYFUNCTION("""COMPUTED_VALUE"""),0)</f>
        <v>0</v>
      </c>
      <c r="F3907" s="77"/>
      <c r="G3907" s="77"/>
    </row>
    <row r="3908" spans="1:7" ht="12.75" x14ac:dyDescent="0.2">
      <c r="A3908" s="78"/>
      <c r="B3908" s="78"/>
      <c r="C3908" s="78"/>
      <c r="D3908" s="78"/>
      <c r="E3908" s="80">
        <f ca="1">IFERROR(__xludf.DUMMYFUNCTION("""COMPUTED_VALUE"""),0)</f>
        <v>0</v>
      </c>
      <c r="F3908" s="77"/>
      <c r="G3908" s="77"/>
    </row>
    <row r="3909" spans="1:7" ht="12.75" x14ac:dyDescent="0.2">
      <c r="A3909" s="78"/>
      <c r="B3909" s="78"/>
      <c r="C3909" s="78"/>
      <c r="D3909" s="78"/>
      <c r="E3909" s="80">
        <f ca="1">IFERROR(__xludf.DUMMYFUNCTION("""COMPUTED_VALUE"""),0)</f>
        <v>0</v>
      </c>
      <c r="F3909" s="77"/>
      <c r="G3909" s="77"/>
    </row>
    <row r="3910" spans="1:7" ht="12.75" x14ac:dyDescent="0.2">
      <c r="A3910" s="78"/>
      <c r="B3910" s="78"/>
      <c r="C3910" s="78"/>
      <c r="D3910" s="78"/>
      <c r="E3910" s="80">
        <f ca="1">IFERROR(__xludf.DUMMYFUNCTION("""COMPUTED_VALUE"""),0)</f>
        <v>0</v>
      </c>
      <c r="F3910" s="77"/>
      <c r="G3910" s="77"/>
    </row>
    <row r="3911" spans="1:7" ht="12.75" x14ac:dyDescent="0.2">
      <c r="A3911" s="78"/>
      <c r="B3911" s="78"/>
      <c r="C3911" s="78"/>
      <c r="D3911" s="78"/>
      <c r="E3911" s="80">
        <f ca="1">IFERROR(__xludf.DUMMYFUNCTION("""COMPUTED_VALUE"""),0)</f>
        <v>0</v>
      </c>
      <c r="F3911" s="77"/>
      <c r="G3911" s="77"/>
    </row>
    <row r="3912" spans="1:7" ht="12.75" x14ac:dyDescent="0.2">
      <c r="A3912" s="78"/>
      <c r="B3912" s="78"/>
      <c r="C3912" s="78"/>
      <c r="D3912" s="78"/>
      <c r="E3912" s="80">
        <f ca="1">IFERROR(__xludf.DUMMYFUNCTION("""COMPUTED_VALUE"""),0)</f>
        <v>0</v>
      </c>
      <c r="F3912" s="77"/>
      <c r="G3912" s="77"/>
    </row>
    <row r="3913" spans="1:7" ht="12.75" x14ac:dyDescent="0.2">
      <c r="A3913" s="78"/>
      <c r="B3913" s="78"/>
      <c r="C3913" s="78"/>
      <c r="D3913" s="78"/>
      <c r="E3913" s="80">
        <f ca="1">IFERROR(__xludf.DUMMYFUNCTION("""COMPUTED_VALUE"""),0)</f>
        <v>0</v>
      </c>
      <c r="F3913" s="77"/>
      <c r="G3913" s="77"/>
    </row>
    <row r="3914" spans="1:7" ht="12.75" x14ac:dyDescent="0.2">
      <c r="A3914" s="78"/>
      <c r="B3914" s="78"/>
      <c r="C3914" s="78"/>
      <c r="D3914" s="78"/>
      <c r="E3914" s="80">
        <f ca="1">IFERROR(__xludf.DUMMYFUNCTION("""COMPUTED_VALUE"""),0)</f>
        <v>0</v>
      </c>
      <c r="F3914" s="77"/>
      <c r="G3914" s="77"/>
    </row>
    <row r="3915" spans="1:7" ht="12.75" x14ac:dyDescent="0.2">
      <c r="A3915" s="78"/>
      <c r="B3915" s="78"/>
      <c r="C3915" s="78"/>
      <c r="D3915" s="78"/>
      <c r="E3915" s="80">
        <f ca="1">IFERROR(__xludf.DUMMYFUNCTION("""COMPUTED_VALUE"""),0)</f>
        <v>0</v>
      </c>
      <c r="F3915" s="77"/>
      <c r="G3915" s="77"/>
    </row>
    <row r="3916" spans="1:7" ht="12.75" x14ac:dyDescent="0.2">
      <c r="A3916" s="78"/>
      <c r="B3916" s="78"/>
      <c r="C3916" s="78"/>
      <c r="D3916" s="78"/>
      <c r="E3916" s="80">
        <f ca="1">IFERROR(__xludf.DUMMYFUNCTION("""COMPUTED_VALUE"""),0)</f>
        <v>0</v>
      </c>
      <c r="F3916" s="77"/>
      <c r="G3916" s="77"/>
    </row>
    <row r="3917" spans="1:7" ht="12.75" x14ac:dyDescent="0.2">
      <c r="A3917" s="78"/>
      <c r="B3917" s="78"/>
      <c r="C3917" s="78"/>
      <c r="D3917" s="78"/>
      <c r="E3917" s="80">
        <f ca="1">IFERROR(__xludf.DUMMYFUNCTION("""COMPUTED_VALUE"""),0)</f>
        <v>0</v>
      </c>
      <c r="F3917" s="77"/>
      <c r="G3917" s="77"/>
    </row>
    <row r="3918" spans="1:7" ht="12.75" x14ac:dyDescent="0.2">
      <c r="A3918" s="78"/>
      <c r="B3918" s="78"/>
      <c r="C3918" s="78"/>
      <c r="D3918" s="78"/>
      <c r="E3918" s="80">
        <f ca="1">IFERROR(__xludf.DUMMYFUNCTION("""COMPUTED_VALUE"""),0)</f>
        <v>0</v>
      </c>
      <c r="F3918" s="77"/>
      <c r="G3918" s="77"/>
    </row>
    <row r="3919" spans="1:7" ht="12.75" x14ac:dyDescent="0.2">
      <c r="A3919" s="78"/>
      <c r="B3919" s="78"/>
      <c r="C3919" s="78"/>
      <c r="D3919" s="78"/>
      <c r="E3919" s="80">
        <f ca="1">IFERROR(__xludf.DUMMYFUNCTION("""COMPUTED_VALUE"""),0)</f>
        <v>0</v>
      </c>
      <c r="F3919" s="77"/>
      <c r="G3919" s="77"/>
    </row>
    <row r="3920" spans="1:7" ht="12.75" x14ac:dyDescent="0.2">
      <c r="A3920" s="78"/>
      <c r="B3920" s="78"/>
      <c r="C3920" s="78"/>
      <c r="D3920" s="78"/>
      <c r="E3920" s="80">
        <f ca="1">IFERROR(__xludf.DUMMYFUNCTION("""COMPUTED_VALUE"""),0)</f>
        <v>0</v>
      </c>
      <c r="F3920" s="77"/>
      <c r="G3920" s="77"/>
    </row>
    <row r="3921" spans="1:7" ht="12.75" x14ac:dyDescent="0.2">
      <c r="A3921" s="78"/>
      <c r="B3921" s="78"/>
      <c r="C3921" s="78"/>
      <c r="D3921" s="78"/>
      <c r="E3921" s="80">
        <f ca="1">IFERROR(__xludf.DUMMYFUNCTION("""COMPUTED_VALUE"""),0)</f>
        <v>0</v>
      </c>
      <c r="F3921" s="77"/>
      <c r="G3921" s="77"/>
    </row>
    <row r="3922" spans="1:7" ht="12.75" x14ac:dyDescent="0.2">
      <c r="A3922" s="78"/>
      <c r="B3922" s="78"/>
      <c r="C3922" s="78"/>
      <c r="D3922" s="78"/>
      <c r="E3922" s="80">
        <f ca="1">IFERROR(__xludf.DUMMYFUNCTION("""COMPUTED_VALUE"""),0)</f>
        <v>0</v>
      </c>
      <c r="F3922" s="77"/>
      <c r="G3922" s="77"/>
    </row>
    <row r="3923" spans="1:7" ht="12.75" x14ac:dyDescent="0.2">
      <c r="A3923" s="78"/>
      <c r="B3923" s="78"/>
      <c r="C3923" s="78"/>
      <c r="D3923" s="78"/>
      <c r="E3923" s="80">
        <f ca="1">IFERROR(__xludf.DUMMYFUNCTION("""COMPUTED_VALUE"""),0)</f>
        <v>0</v>
      </c>
      <c r="F3923" s="77"/>
      <c r="G3923" s="77"/>
    </row>
    <row r="3924" spans="1:7" ht="12.75" x14ac:dyDescent="0.2">
      <c r="A3924" s="78"/>
      <c r="B3924" s="78"/>
      <c r="C3924" s="78"/>
      <c r="D3924" s="78"/>
      <c r="E3924" s="80">
        <f ca="1">IFERROR(__xludf.DUMMYFUNCTION("""COMPUTED_VALUE"""),0)</f>
        <v>0</v>
      </c>
      <c r="F3924" s="77"/>
      <c r="G3924" s="77"/>
    </row>
    <row r="3925" spans="1:7" ht="12.75" x14ac:dyDescent="0.2">
      <c r="A3925" s="78"/>
      <c r="B3925" s="78"/>
      <c r="C3925" s="78"/>
      <c r="D3925" s="78"/>
      <c r="E3925" s="80">
        <f ca="1">IFERROR(__xludf.DUMMYFUNCTION("""COMPUTED_VALUE"""),0)</f>
        <v>0</v>
      </c>
      <c r="F3925" s="77"/>
      <c r="G3925" s="77"/>
    </row>
    <row r="3926" spans="1:7" ht="12.75" x14ac:dyDescent="0.2">
      <c r="A3926" s="78"/>
      <c r="B3926" s="78"/>
      <c r="C3926" s="78"/>
      <c r="D3926" s="78"/>
      <c r="E3926" s="80">
        <f ca="1">IFERROR(__xludf.DUMMYFUNCTION("""COMPUTED_VALUE"""),0)</f>
        <v>0</v>
      </c>
      <c r="F3926" s="77"/>
      <c r="G3926" s="77"/>
    </row>
    <row r="3927" spans="1:7" ht="12.75" x14ac:dyDescent="0.2">
      <c r="A3927" s="78"/>
      <c r="B3927" s="78"/>
      <c r="C3927" s="78"/>
      <c r="D3927" s="78"/>
      <c r="E3927" s="80">
        <f ca="1">IFERROR(__xludf.DUMMYFUNCTION("""COMPUTED_VALUE"""),0)</f>
        <v>0</v>
      </c>
      <c r="F3927" s="77"/>
      <c r="G3927" s="77"/>
    </row>
    <row r="3928" spans="1:7" ht="12.75" x14ac:dyDescent="0.2">
      <c r="A3928" s="78"/>
      <c r="B3928" s="78"/>
      <c r="C3928" s="78"/>
      <c r="D3928" s="78"/>
      <c r="E3928" s="80">
        <f ca="1">IFERROR(__xludf.DUMMYFUNCTION("""COMPUTED_VALUE"""),0)</f>
        <v>0</v>
      </c>
      <c r="F3928" s="77"/>
      <c r="G3928" s="77"/>
    </row>
    <row r="3929" spans="1:7" ht="12.75" x14ac:dyDescent="0.2">
      <c r="A3929" s="78"/>
      <c r="B3929" s="78"/>
      <c r="C3929" s="78"/>
      <c r="D3929" s="78"/>
      <c r="E3929" s="80">
        <f ca="1">IFERROR(__xludf.DUMMYFUNCTION("""COMPUTED_VALUE"""),0)</f>
        <v>0</v>
      </c>
      <c r="F3929" s="77"/>
      <c r="G3929" s="77"/>
    </row>
    <row r="3930" spans="1:7" ht="12.75" x14ac:dyDescent="0.2">
      <c r="A3930" s="78"/>
      <c r="B3930" s="78"/>
      <c r="C3930" s="78"/>
      <c r="D3930" s="78"/>
      <c r="E3930" s="80">
        <f ca="1">IFERROR(__xludf.DUMMYFUNCTION("""COMPUTED_VALUE"""),0)</f>
        <v>0</v>
      </c>
      <c r="F3930" s="77"/>
      <c r="G3930" s="77"/>
    </row>
    <row r="3931" spans="1:7" ht="12.75" x14ac:dyDescent="0.2">
      <c r="A3931" s="78"/>
      <c r="B3931" s="78"/>
      <c r="C3931" s="78"/>
      <c r="D3931" s="78"/>
      <c r="E3931" s="80">
        <f ca="1">IFERROR(__xludf.DUMMYFUNCTION("""COMPUTED_VALUE"""),0)</f>
        <v>0</v>
      </c>
      <c r="F3931" s="77"/>
      <c r="G3931" s="77"/>
    </row>
    <row r="3932" spans="1:7" ht="12.75" x14ac:dyDescent="0.2">
      <c r="A3932" s="78"/>
      <c r="B3932" s="78"/>
      <c r="C3932" s="78"/>
      <c r="D3932" s="78"/>
      <c r="E3932" s="80">
        <f ca="1">IFERROR(__xludf.DUMMYFUNCTION("""COMPUTED_VALUE"""),0)</f>
        <v>0</v>
      </c>
      <c r="F3932" s="77"/>
      <c r="G3932" s="77"/>
    </row>
    <row r="3933" spans="1:7" ht="12.75" x14ac:dyDescent="0.2">
      <c r="A3933" s="78"/>
      <c r="B3933" s="78"/>
      <c r="C3933" s="78"/>
      <c r="D3933" s="78"/>
      <c r="E3933" s="80">
        <f ca="1">IFERROR(__xludf.DUMMYFUNCTION("""COMPUTED_VALUE"""),0)</f>
        <v>0</v>
      </c>
      <c r="F3933" s="77"/>
      <c r="G3933" s="77"/>
    </row>
    <row r="3934" spans="1:7" ht="12.75" x14ac:dyDescent="0.2">
      <c r="A3934" s="78"/>
      <c r="B3934" s="78"/>
      <c r="C3934" s="78"/>
      <c r="D3934" s="78"/>
      <c r="E3934" s="80">
        <f ca="1">IFERROR(__xludf.DUMMYFUNCTION("""COMPUTED_VALUE"""),0)</f>
        <v>0</v>
      </c>
      <c r="F3934" s="77"/>
      <c r="G3934" s="77"/>
    </row>
    <row r="3935" spans="1:7" ht="12.75" x14ac:dyDescent="0.2">
      <c r="A3935" s="78"/>
      <c r="B3935" s="78"/>
      <c r="C3935" s="78"/>
      <c r="D3935" s="78"/>
      <c r="E3935" s="80">
        <f ca="1">IFERROR(__xludf.DUMMYFUNCTION("""COMPUTED_VALUE"""),0)</f>
        <v>0</v>
      </c>
      <c r="F3935" s="77"/>
      <c r="G3935" s="77"/>
    </row>
    <row r="3936" spans="1:7" ht="12.75" x14ac:dyDescent="0.2">
      <c r="A3936" s="78"/>
      <c r="B3936" s="78"/>
      <c r="C3936" s="78"/>
      <c r="D3936" s="78"/>
      <c r="E3936" s="80">
        <f ca="1">IFERROR(__xludf.DUMMYFUNCTION("""COMPUTED_VALUE"""),0)</f>
        <v>0</v>
      </c>
      <c r="F3936" s="77"/>
      <c r="G3936" s="77"/>
    </row>
    <row r="3937" spans="1:7" ht="12.75" x14ac:dyDescent="0.2">
      <c r="A3937" s="78"/>
      <c r="B3937" s="78"/>
      <c r="C3937" s="78"/>
      <c r="D3937" s="78"/>
      <c r="E3937" s="80">
        <f ca="1">IFERROR(__xludf.DUMMYFUNCTION("""COMPUTED_VALUE"""),0)</f>
        <v>0</v>
      </c>
      <c r="F3937" s="77"/>
      <c r="G3937" s="77"/>
    </row>
    <row r="3938" spans="1:7" ht="12.75" x14ac:dyDescent="0.2">
      <c r="A3938" s="78"/>
      <c r="B3938" s="78"/>
      <c r="C3938" s="78"/>
      <c r="D3938" s="78"/>
      <c r="E3938" s="80">
        <f ca="1">IFERROR(__xludf.DUMMYFUNCTION("""COMPUTED_VALUE"""),0)</f>
        <v>0</v>
      </c>
      <c r="F3938" s="77"/>
      <c r="G3938" s="77"/>
    </row>
    <row r="3939" spans="1:7" ht="12.75" x14ac:dyDescent="0.2">
      <c r="A3939" s="78"/>
      <c r="B3939" s="78"/>
      <c r="C3939" s="78"/>
      <c r="D3939" s="78"/>
      <c r="E3939" s="80">
        <f ca="1">IFERROR(__xludf.DUMMYFUNCTION("""COMPUTED_VALUE"""),0)</f>
        <v>0</v>
      </c>
      <c r="F3939" s="77"/>
      <c r="G3939" s="77"/>
    </row>
    <row r="3940" spans="1:7" ht="12.75" x14ac:dyDescent="0.2">
      <c r="A3940" s="78"/>
      <c r="B3940" s="78"/>
      <c r="C3940" s="78"/>
      <c r="D3940" s="78"/>
      <c r="E3940" s="80">
        <f ca="1">IFERROR(__xludf.DUMMYFUNCTION("""COMPUTED_VALUE"""),0)</f>
        <v>0</v>
      </c>
      <c r="F3940" s="77"/>
      <c r="G3940" s="77"/>
    </row>
    <row r="3941" spans="1:7" ht="12.75" x14ac:dyDescent="0.2">
      <c r="A3941" s="78"/>
      <c r="B3941" s="78"/>
      <c r="C3941" s="78"/>
      <c r="D3941" s="78"/>
      <c r="E3941" s="80">
        <f ca="1">IFERROR(__xludf.DUMMYFUNCTION("""COMPUTED_VALUE"""),0)</f>
        <v>0</v>
      </c>
      <c r="F3941" s="77"/>
      <c r="G3941" s="77"/>
    </row>
    <row r="3942" spans="1:7" ht="12.75" x14ac:dyDescent="0.2">
      <c r="A3942" s="78"/>
      <c r="B3942" s="78"/>
      <c r="C3942" s="78"/>
      <c r="D3942" s="78"/>
      <c r="E3942" s="80">
        <f ca="1">IFERROR(__xludf.DUMMYFUNCTION("""COMPUTED_VALUE"""),0)</f>
        <v>0</v>
      </c>
      <c r="F3942" s="77"/>
      <c r="G3942" s="77"/>
    </row>
    <row r="3943" spans="1:7" ht="12.75" x14ac:dyDescent="0.2">
      <c r="A3943" s="78"/>
      <c r="B3943" s="78"/>
      <c r="C3943" s="78"/>
      <c r="D3943" s="78"/>
      <c r="E3943" s="80">
        <f ca="1">IFERROR(__xludf.DUMMYFUNCTION("""COMPUTED_VALUE"""),0)</f>
        <v>0</v>
      </c>
      <c r="F3943" s="77"/>
      <c r="G3943" s="77"/>
    </row>
    <row r="3944" spans="1:7" ht="12.75" x14ac:dyDescent="0.2">
      <c r="A3944" s="78"/>
      <c r="B3944" s="78"/>
      <c r="C3944" s="78"/>
      <c r="D3944" s="78"/>
      <c r="E3944" s="80">
        <f ca="1">IFERROR(__xludf.DUMMYFUNCTION("""COMPUTED_VALUE"""),0)</f>
        <v>0</v>
      </c>
      <c r="F3944" s="77"/>
      <c r="G3944" s="77"/>
    </row>
    <row r="3945" spans="1:7" ht="12.75" x14ac:dyDescent="0.2">
      <c r="A3945" s="78"/>
      <c r="B3945" s="78"/>
      <c r="C3945" s="78"/>
      <c r="D3945" s="78"/>
      <c r="E3945" s="80">
        <f ca="1">IFERROR(__xludf.DUMMYFUNCTION("""COMPUTED_VALUE"""),0)</f>
        <v>0</v>
      </c>
      <c r="F3945" s="77"/>
      <c r="G3945" s="77"/>
    </row>
    <row r="3946" spans="1:7" ht="12.75" x14ac:dyDescent="0.2">
      <c r="A3946" s="78"/>
      <c r="B3946" s="78"/>
      <c r="C3946" s="78"/>
      <c r="D3946" s="78"/>
      <c r="E3946" s="80">
        <f ca="1">IFERROR(__xludf.DUMMYFUNCTION("""COMPUTED_VALUE"""),0)</f>
        <v>0</v>
      </c>
      <c r="F3946" s="77"/>
      <c r="G3946" s="77"/>
    </row>
    <row r="3947" spans="1:7" ht="12.75" x14ac:dyDescent="0.2">
      <c r="A3947" s="78"/>
      <c r="B3947" s="78"/>
      <c r="C3947" s="78"/>
      <c r="D3947" s="78"/>
      <c r="E3947" s="80">
        <f ca="1">IFERROR(__xludf.DUMMYFUNCTION("""COMPUTED_VALUE"""),0)</f>
        <v>0</v>
      </c>
      <c r="F3947" s="77"/>
      <c r="G3947" s="77"/>
    </row>
    <row r="3948" spans="1:7" ht="12.75" x14ac:dyDescent="0.2">
      <c r="A3948" s="78"/>
      <c r="B3948" s="78"/>
      <c r="C3948" s="78"/>
      <c r="D3948" s="78"/>
      <c r="E3948" s="80">
        <f ca="1">IFERROR(__xludf.DUMMYFUNCTION("""COMPUTED_VALUE"""),0)</f>
        <v>0</v>
      </c>
      <c r="F3948" s="77"/>
      <c r="G3948" s="77"/>
    </row>
    <row r="3949" spans="1:7" ht="12.75" x14ac:dyDescent="0.2">
      <c r="A3949" s="78"/>
      <c r="B3949" s="78"/>
      <c r="C3949" s="78"/>
      <c r="D3949" s="78"/>
      <c r="E3949" s="80">
        <f ca="1">IFERROR(__xludf.DUMMYFUNCTION("""COMPUTED_VALUE"""),0)</f>
        <v>0</v>
      </c>
      <c r="F3949" s="77"/>
      <c r="G3949" s="77"/>
    </row>
    <row r="3950" spans="1:7" ht="12.75" x14ac:dyDescent="0.2">
      <c r="A3950" s="78"/>
      <c r="B3950" s="78"/>
      <c r="C3950" s="78"/>
      <c r="D3950" s="78"/>
      <c r="E3950" s="80">
        <f ca="1">IFERROR(__xludf.DUMMYFUNCTION("""COMPUTED_VALUE"""),0)</f>
        <v>0</v>
      </c>
      <c r="F3950" s="77"/>
      <c r="G3950" s="77"/>
    </row>
    <row r="3951" spans="1:7" ht="12.75" x14ac:dyDescent="0.2">
      <c r="A3951" s="78"/>
      <c r="B3951" s="78"/>
      <c r="C3951" s="78"/>
      <c r="D3951" s="78"/>
      <c r="E3951" s="80">
        <f ca="1">IFERROR(__xludf.DUMMYFUNCTION("""COMPUTED_VALUE"""),0)</f>
        <v>0</v>
      </c>
      <c r="F3951" s="77"/>
      <c r="G3951" s="77"/>
    </row>
    <row r="3952" spans="1:7" ht="12.75" x14ac:dyDescent="0.2">
      <c r="A3952" s="78"/>
      <c r="B3952" s="78"/>
      <c r="C3952" s="78"/>
      <c r="D3952" s="78"/>
      <c r="E3952" s="80">
        <f ca="1">IFERROR(__xludf.DUMMYFUNCTION("""COMPUTED_VALUE"""),0)</f>
        <v>0</v>
      </c>
      <c r="F3952" s="77"/>
      <c r="G3952" s="77"/>
    </row>
    <row r="3953" spans="1:7" ht="12.75" x14ac:dyDescent="0.2">
      <c r="A3953" s="78"/>
      <c r="B3953" s="78"/>
      <c r="C3953" s="78"/>
      <c r="D3953" s="78"/>
      <c r="E3953" s="80">
        <f ca="1">IFERROR(__xludf.DUMMYFUNCTION("""COMPUTED_VALUE"""),0)</f>
        <v>0</v>
      </c>
      <c r="F3953" s="77"/>
      <c r="G3953" s="77"/>
    </row>
    <row r="3954" spans="1:7" ht="12.75" x14ac:dyDescent="0.2">
      <c r="A3954" s="78"/>
      <c r="B3954" s="78"/>
      <c r="C3954" s="78"/>
      <c r="D3954" s="78"/>
      <c r="E3954" s="80">
        <f ca="1">IFERROR(__xludf.DUMMYFUNCTION("""COMPUTED_VALUE"""),0)</f>
        <v>0</v>
      </c>
      <c r="F3954" s="77"/>
      <c r="G3954" s="77"/>
    </row>
    <row r="3955" spans="1:7" ht="12.75" x14ac:dyDescent="0.2">
      <c r="A3955" s="78"/>
      <c r="B3955" s="78"/>
      <c r="C3955" s="78"/>
      <c r="D3955" s="78"/>
      <c r="E3955" s="80">
        <f ca="1">IFERROR(__xludf.DUMMYFUNCTION("""COMPUTED_VALUE"""),0)</f>
        <v>0</v>
      </c>
      <c r="F3955" s="77"/>
      <c r="G3955" s="77"/>
    </row>
    <row r="3956" spans="1:7" ht="12.75" x14ac:dyDescent="0.2">
      <c r="A3956" s="78"/>
      <c r="B3956" s="78"/>
      <c r="C3956" s="78"/>
      <c r="D3956" s="78"/>
      <c r="E3956" s="80">
        <f ca="1">IFERROR(__xludf.DUMMYFUNCTION("""COMPUTED_VALUE"""),0)</f>
        <v>0</v>
      </c>
      <c r="F3956" s="77"/>
      <c r="G3956" s="77"/>
    </row>
    <row r="3957" spans="1:7" ht="12.75" x14ac:dyDescent="0.2">
      <c r="A3957" s="78"/>
      <c r="B3957" s="78"/>
      <c r="C3957" s="78"/>
      <c r="D3957" s="78"/>
      <c r="E3957" s="80">
        <f ca="1">IFERROR(__xludf.DUMMYFUNCTION("""COMPUTED_VALUE"""),0)</f>
        <v>0</v>
      </c>
      <c r="F3957" s="77"/>
      <c r="G3957" s="77"/>
    </row>
    <row r="3958" spans="1:7" ht="12.75" x14ac:dyDescent="0.2">
      <c r="A3958" s="78"/>
      <c r="B3958" s="78"/>
      <c r="C3958" s="78"/>
      <c r="D3958" s="78"/>
      <c r="E3958" s="80">
        <f ca="1">IFERROR(__xludf.DUMMYFUNCTION("""COMPUTED_VALUE"""),0)</f>
        <v>0</v>
      </c>
      <c r="F3958" s="77"/>
      <c r="G3958" s="77"/>
    </row>
    <row r="3959" spans="1:7" ht="12.75" x14ac:dyDescent="0.2">
      <c r="A3959" s="78"/>
      <c r="B3959" s="78"/>
      <c r="C3959" s="78"/>
      <c r="D3959" s="78"/>
      <c r="E3959" s="80">
        <f ca="1">IFERROR(__xludf.DUMMYFUNCTION("""COMPUTED_VALUE"""),0)</f>
        <v>0</v>
      </c>
      <c r="F3959" s="77"/>
      <c r="G3959" s="77"/>
    </row>
    <row r="3960" spans="1:7" ht="12.75" x14ac:dyDescent="0.2">
      <c r="A3960" s="78"/>
      <c r="B3960" s="78"/>
      <c r="C3960" s="78"/>
      <c r="D3960" s="78"/>
      <c r="E3960" s="80">
        <f ca="1">IFERROR(__xludf.DUMMYFUNCTION("""COMPUTED_VALUE"""),0)</f>
        <v>0</v>
      </c>
      <c r="F3960" s="77"/>
      <c r="G3960" s="77"/>
    </row>
    <row r="3961" spans="1:7" ht="12.75" x14ac:dyDescent="0.2">
      <c r="A3961" s="78"/>
      <c r="B3961" s="78"/>
      <c r="C3961" s="78"/>
      <c r="D3961" s="78"/>
      <c r="E3961" s="80">
        <f ca="1">IFERROR(__xludf.DUMMYFUNCTION("""COMPUTED_VALUE"""),0)</f>
        <v>0</v>
      </c>
      <c r="F3961" s="77"/>
      <c r="G3961" s="77"/>
    </row>
    <row r="3962" spans="1:7" ht="12.75" x14ac:dyDescent="0.2">
      <c r="A3962" s="78"/>
      <c r="B3962" s="78"/>
      <c r="C3962" s="78"/>
      <c r="D3962" s="78"/>
      <c r="E3962" s="80">
        <f ca="1">IFERROR(__xludf.DUMMYFUNCTION("""COMPUTED_VALUE"""),0)</f>
        <v>0</v>
      </c>
      <c r="F3962" s="77"/>
      <c r="G3962" s="77"/>
    </row>
    <row r="3963" spans="1:7" ht="12.75" x14ac:dyDescent="0.2">
      <c r="A3963" s="78"/>
      <c r="B3963" s="78"/>
      <c r="C3963" s="78"/>
      <c r="D3963" s="78"/>
      <c r="E3963" s="80">
        <f ca="1">IFERROR(__xludf.DUMMYFUNCTION("""COMPUTED_VALUE"""),0)</f>
        <v>0</v>
      </c>
      <c r="F3963" s="77"/>
      <c r="G3963" s="77"/>
    </row>
    <row r="3964" spans="1:7" ht="12.75" x14ac:dyDescent="0.2">
      <c r="A3964" s="78"/>
      <c r="B3964" s="78"/>
      <c r="C3964" s="78"/>
      <c r="D3964" s="78"/>
      <c r="E3964" s="80">
        <f ca="1">IFERROR(__xludf.DUMMYFUNCTION("""COMPUTED_VALUE"""),0)</f>
        <v>0</v>
      </c>
      <c r="F3964" s="77"/>
      <c r="G3964" s="77"/>
    </row>
    <row r="3965" spans="1:7" ht="12.75" x14ac:dyDescent="0.2">
      <c r="A3965" s="78"/>
      <c r="B3965" s="78"/>
      <c r="C3965" s="78"/>
      <c r="D3965" s="78"/>
      <c r="E3965" s="80">
        <f ca="1">IFERROR(__xludf.DUMMYFUNCTION("""COMPUTED_VALUE"""),0)</f>
        <v>0</v>
      </c>
      <c r="F3965" s="77"/>
      <c r="G3965" s="77"/>
    </row>
    <row r="3966" spans="1:7" ht="12.75" x14ac:dyDescent="0.2">
      <c r="A3966" s="78"/>
      <c r="B3966" s="78"/>
      <c r="C3966" s="78"/>
      <c r="D3966" s="78"/>
      <c r="E3966" s="80">
        <f ca="1">IFERROR(__xludf.DUMMYFUNCTION("""COMPUTED_VALUE"""),0)</f>
        <v>0</v>
      </c>
      <c r="F3966" s="77"/>
      <c r="G3966" s="77"/>
    </row>
    <row r="3967" spans="1:7" ht="12.75" x14ac:dyDescent="0.2">
      <c r="A3967" s="78"/>
      <c r="B3967" s="78"/>
      <c r="C3967" s="78"/>
      <c r="D3967" s="78"/>
      <c r="E3967" s="80">
        <f ca="1">IFERROR(__xludf.DUMMYFUNCTION("""COMPUTED_VALUE"""),0)</f>
        <v>0</v>
      </c>
      <c r="F3967" s="77"/>
      <c r="G3967" s="77"/>
    </row>
    <row r="3968" spans="1:7" ht="12.75" x14ac:dyDescent="0.2">
      <c r="A3968" s="78"/>
      <c r="B3968" s="78"/>
      <c r="C3968" s="78"/>
      <c r="D3968" s="78"/>
      <c r="E3968" s="80">
        <f ca="1">IFERROR(__xludf.DUMMYFUNCTION("""COMPUTED_VALUE"""),0)</f>
        <v>0</v>
      </c>
      <c r="F3968" s="77"/>
      <c r="G3968" s="77"/>
    </row>
    <row r="3969" spans="1:7" ht="12.75" x14ac:dyDescent="0.2">
      <c r="A3969" s="78"/>
      <c r="B3969" s="78"/>
      <c r="C3969" s="78"/>
      <c r="D3969" s="78"/>
      <c r="E3969" s="80">
        <f ca="1">IFERROR(__xludf.DUMMYFUNCTION("""COMPUTED_VALUE"""),0)</f>
        <v>0</v>
      </c>
      <c r="F3969" s="77"/>
      <c r="G3969" s="77"/>
    </row>
    <row r="3970" spans="1:7" ht="12.75" x14ac:dyDescent="0.2">
      <c r="A3970" s="78"/>
      <c r="B3970" s="78"/>
      <c r="C3970" s="78"/>
      <c r="D3970" s="78"/>
      <c r="E3970" s="80">
        <f ca="1">IFERROR(__xludf.DUMMYFUNCTION("""COMPUTED_VALUE"""),0)</f>
        <v>0</v>
      </c>
      <c r="F3970" s="77"/>
      <c r="G3970" s="77"/>
    </row>
    <row r="3971" spans="1:7" ht="12.75" x14ac:dyDescent="0.2">
      <c r="A3971" s="78"/>
      <c r="B3971" s="78"/>
      <c r="C3971" s="78"/>
      <c r="D3971" s="78"/>
      <c r="E3971" s="80">
        <f ca="1">IFERROR(__xludf.DUMMYFUNCTION("""COMPUTED_VALUE"""),0)</f>
        <v>0</v>
      </c>
      <c r="F3971" s="77"/>
      <c r="G3971" s="77"/>
    </row>
    <row r="3972" spans="1:7" ht="12.75" x14ac:dyDescent="0.2">
      <c r="A3972" s="78"/>
      <c r="B3972" s="78"/>
      <c r="C3972" s="78"/>
      <c r="D3972" s="78"/>
      <c r="E3972" s="80">
        <f ca="1">IFERROR(__xludf.DUMMYFUNCTION("""COMPUTED_VALUE"""),0)</f>
        <v>0</v>
      </c>
      <c r="F3972" s="77"/>
      <c r="G3972" s="77"/>
    </row>
    <row r="3973" spans="1:7" ht="12.75" x14ac:dyDescent="0.2">
      <c r="A3973" s="78"/>
      <c r="B3973" s="78"/>
      <c r="C3973" s="78"/>
      <c r="D3973" s="78"/>
      <c r="E3973" s="80">
        <f ca="1">IFERROR(__xludf.DUMMYFUNCTION("""COMPUTED_VALUE"""),0)</f>
        <v>0</v>
      </c>
      <c r="F3973" s="77"/>
      <c r="G3973" s="77"/>
    </row>
    <row r="3974" spans="1:7" ht="12.75" x14ac:dyDescent="0.2">
      <c r="A3974" s="78"/>
      <c r="B3974" s="78"/>
      <c r="C3974" s="78"/>
      <c r="D3974" s="78"/>
      <c r="E3974" s="80">
        <f ca="1">IFERROR(__xludf.DUMMYFUNCTION("""COMPUTED_VALUE"""),0)</f>
        <v>0</v>
      </c>
      <c r="F3974" s="77"/>
      <c r="G3974" s="77"/>
    </row>
    <row r="3975" spans="1:7" ht="12.75" x14ac:dyDescent="0.2">
      <c r="A3975" s="78"/>
      <c r="B3975" s="78"/>
      <c r="C3975" s="78"/>
      <c r="D3975" s="78"/>
      <c r="E3975" s="80">
        <f ca="1">IFERROR(__xludf.DUMMYFUNCTION("""COMPUTED_VALUE"""),0)</f>
        <v>0</v>
      </c>
      <c r="F3975" s="77"/>
      <c r="G3975" s="77"/>
    </row>
    <row r="3976" spans="1:7" ht="12.75" x14ac:dyDescent="0.2">
      <c r="A3976" s="78"/>
      <c r="B3976" s="78"/>
      <c r="C3976" s="78"/>
      <c r="D3976" s="78"/>
      <c r="E3976" s="80">
        <f ca="1">IFERROR(__xludf.DUMMYFUNCTION("""COMPUTED_VALUE"""),0)</f>
        <v>0</v>
      </c>
      <c r="F3976" s="77"/>
      <c r="G3976" s="77"/>
    </row>
    <row r="3977" spans="1:7" ht="12.75" x14ac:dyDescent="0.2">
      <c r="A3977" s="78"/>
      <c r="B3977" s="78"/>
      <c r="C3977" s="78"/>
      <c r="D3977" s="78"/>
      <c r="E3977" s="80">
        <f ca="1">IFERROR(__xludf.DUMMYFUNCTION("""COMPUTED_VALUE"""),0)</f>
        <v>0</v>
      </c>
      <c r="F3977" s="77"/>
      <c r="G3977" s="77"/>
    </row>
    <row r="3978" spans="1:7" ht="12.75" x14ac:dyDescent="0.2">
      <c r="A3978" s="78"/>
      <c r="B3978" s="78"/>
      <c r="C3978" s="78"/>
      <c r="D3978" s="78"/>
      <c r="E3978" s="80">
        <f ca="1">IFERROR(__xludf.DUMMYFUNCTION("""COMPUTED_VALUE"""),0)</f>
        <v>0</v>
      </c>
      <c r="F3978" s="77"/>
      <c r="G3978" s="77"/>
    </row>
    <row r="3979" spans="1:7" ht="12.75" x14ac:dyDescent="0.2">
      <c r="A3979" s="78"/>
      <c r="B3979" s="78"/>
      <c r="C3979" s="78"/>
      <c r="D3979" s="78"/>
      <c r="E3979" s="80">
        <f ca="1">IFERROR(__xludf.DUMMYFUNCTION("""COMPUTED_VALUE"""),0)</f>
        <v>0</v>
      </c>
      <c r="F3979" s="77"/>
      <c r="G3979" s="77"/>
    </row>
    <row r="3980" spans="1:7" ht="12.75" x14ac:dyDescent="0.2">
      <c r="A3980" s="78"/>
      <c r="B3980" s="78"/>
      <c r="C3980" s="78"/>
      <c r="D3980" s="78"/>
      <c r="E3980" s="80">
        <f ca="1">IFERROR(__xludf.DUMMYFUNCTION("""COMPUTED_VALUE"""),0)</f>
        <v>0</v>
      </c>
      <c r="F3980" s="77"/>
      <c r="G3980" s="77"/>
    </row>
    <row r="3981" spans="1:7" ht="12.75" x14ac:dyDescent="0.2">
      <c r="A3981" s="78"/>
      <c r="B3981" s="78"/>
      <c r="C3981" s="78"/>
      <c r="D3981" s="78"/>
      <c r="E3981" s="80">
        <f ca="1">IFERROR(__xludf.DUMMYFUNCTION("""COMPUTED_VALUE"""),0)</f>
        <v>0</v>
      </c>
      <c r="F3981" s="77"/>
      <c r="G3981" s="77"/>
    </row>
    <row r="3982" spans="1:7" ht="12.75" x14ac:dyDescent="0.2">
      <c r="A3982" s="78"/>
      <c r="B3982" s="78"/>
      <c r="C3982" s="78"/>
      <c r="D3982" s="78"/>
      <c r="E3982" s="80">
        <f ca="1">IFERROR(__xludf.DUMMYFUNCTION("""COMPUTED_VALUE"""),0)</f>
        <v>0</v>
      </c>
      <c r="F3982" s="77"/>
      <c r="G3982" s="77"/>
    </row>
    <row r="3983" spans="1:7" ht="12.75" x14ac:dyDescent="0.2">
      <c r="A3983" s="78"/>
      <c r="B3983" s="78"/>
      <c r="C3983" s="78"/>
      <c r="D3983" s="78"/>
      <c r="E3983" s="80">
        <f ca="1">IFERROR(__xludf.DUMMYFUNCTION("""COMPUTED_VALUE"""),0)</f>
        <v>0</v>
      </c>
      <c r="F3983" s="77"/>
      <c r="G3983" s="77"/>
    </row>
    <row r="3984" spans="1:7" ht="12.75" x14ac:dyDescent="0.2">
      <c r="A3984" s="78"/>
      <c r="B3984" s="78"/>
      <c r="C3984" s="78"/>
      <c r="D3984" s="78"/>
      <c r="E3984" s="80">
        <f ca="1">IFERROR(__xludf.DUMMYFUNCTION("""COMPUTED_VALUE"""),0)</f>
        <v>0</v>
      </c>
      <c r="F3984" s="77"/>
      <c r="G3984" s="77"/>
    </row>
    <row r="3985" spans="1:7" ht="12.75" x14ac:dyDescent="0.2">
      <c r="A3985" s="78"/>
      <c r="B3985" s="78"/>
      <c r="C3985" s="78"/>
      <c r="D3985" s="78"/>
      <c r="E3985" s="80">
        <f ca="1">IFERROR(__xludf.DUMMYFUNCTION("""COMPUTED_VALUE"""),0)</f>
        <v>0</v>
      </c>
      <c r="F3985" s="77"/>
      <c r="G3985" s="77"/>
    </row>
    <row r="3986" spans="1:7" ht="12.75" x14ac:dyDescent="0.2">
      <c r="A3986" s="78"/>
      <c r="B3986" s="78"/>
      <c r="C3986" s="78"/>
      <c r="D3986" s="78"/>
      <c r="E3986" s="80">
        <f ca="1">IFERROR(__xludf.DUMMYFUNCTION("""COMPUTED_VALUE"""),0)</f>
        <v>0</v>
      </c>
      <c r="F3986" s="77"/>
      <c r="G3986" s="77"/>
    </row>
    <row r="3987" spans="1:7" ht="12.75" x14ac:dyDescent="0.2">
      <c r="A3987" s="78"/>
      <c r="B3987" s="78"/>
      <c r="C3987" s="78"/>
      <c r="D3987" s="78"/>
      <c r="E3987" s="80">
        <f ca="1">IFERROR(__xludf.DUMMYFUNCTION("""COMPUTED_VALUE"""),0)</f>
        <v>0</v>
      </c>
      <c r="F3987" s="77"/>
      <c r="G3987" s="77"/>
    </row>
    <row r="3988" spans="1:7" ht="12.75" x14ac:dyDescent="0.2">
      <c r="A3988" s="78"/>
      <c r="B3988" s="78"/>
      <c r="C3988" s="78"/>
      <c r="D3988" s="78"/>
      <c r="E3988" s="80">
        <f ca="1">IFERROR(__xludf.DUMMYFUNCTION("""COMPUTED_VALUE"""),0)</f>
        <v>0</v>
      </c>
      <c r="F3988" s="77"/>
      <c r="G3988" s="77"/>
    </row>
    <row r="3989" spans="1:7" ht="12.75" x14ac:dyDescent="0.2">
      <c r="A3989" s="78"/>
      <c r="B3989" s="78"/>
      <c r="C3989" s="78"/>
      <c r="D3989" s="78"/>
      <c r="E3989" s="80">
        <f ca="1">IFERROR(__xludf.DUMMYFUNCTION("""COMPUTED_VALUE"""),0)</f>
        <v>0</v>
      </c>
      <c r="F3989" s="77"/>
      <c r="G3989" s="77"/>
    </row>
    <row r="3990" spans="1:7" ht="12.75" x14ac:dyDescent="0.2">
      <c r="A3990" s="78"/>
      <c r="B3990" s="78"/>
      <c r="C3990" s="78"/>
      <c r="D3990" s="78"/>
      <c r="E3990" s="80">
        <f ca="1">IFERROR(__xludf.DUMMYFUNCTION("""COMPUTED_VALUE"""),0)</f>
        <v>0</v>
      </c>
      <c r="F3990" s="77"/>
      <c r="G3990" s="77"/>
    </row>
    <row r="3991" spans="1:7" ht="12.75" x14ac:dyDescent="0.2">
      <c r="A3991" s="78"/>
      <c r="B3991" s="78"/>
      <c r="C3991" s="78"/>
      <c r="D3991" s="78"/>
      <c r="E3991" s="80">
        <f ca="1">IFERROR(__xludf.DUMMYFUNCTION("""COMPUTED_VALUE"""),0)</f>
        <v>0</v>
      </c>
      <c r="F3991" s="77"/>
      <c r="G3991" s="77"/>
    </row>
    <row r="3992" spans="1:7" ht="12.75" x14ac:dyDescent="0.2">
      <c r="A3992" s="78"/>
      <c r="B3992" s="78"/>
      <c r="C3992" s="78"/>
      <c r="D3992" s="78"/>
      <c r="E3992" s="80">
        <f ca="1">IFERROR(__xludf.DUMMYFUNCTION("""COMPUTED_VALUE"""),0)</f>
        <v>0</v>
      </c>
      <c r="F3992" s="77"/>
      <c r="G3992" s="77"/>
    </row>
    <row r="3993" spans="1:7" ht="12.75" x14ac:dyDescent="0.2">
      <c r="A3993" s="78"/>
      <c r="B3993" s="78"/>
      <c r="C3993" s="78"/>
      <c r="D3993" s="78"/>
      <c r="E3993" s="80">
        <f ca="1">IFERROR(__xludf.DUMMYFUNCTION("""COMPUTED_VALUE"""),0)</f>
        <v>0</v>
      </c>
      <c r="F3993" s="77"/>
      <c r="G3993" s="77"/>
    </row>
    <row r="3994" spans="1:7" ht="12.75" x14ac:dyDescent="0.2">
      <c r="A3994" s="78"/>
      <c r="B3994" s="78"/>
      <c r="C3994" s="78"/>
      <c r="D3994" s="78"/>
      <c r="E3994" s="80">
        <f ca="1">IFERROR(__xludf.DUMMYFUNCTION("""COMPUTED_VALUE"""),0)</f>
        <v>0</v>
      </c>
      <c r="F3994" s="77"/>
      <c r="G3994" s="77"/>
    </row>
    <row r="3995" spans="1:7" ht="12.75" x14ac:dyDescent="0.2">
      <c r="A3995" s="78"/>
      <c r="B3995" s="78"/>
      <c r="C3995" s="78"/>
      <c r="D3995" s="78"/>
      <c r="E3995" s="80">
        <f ca="1">IFERROR(__xludf.DUMMYFUNCTION("""COMPUTED_VALUE"""),0)</f>
        <v>0</v>
      </c>
      <c r="F3995" s="77"/>
      <c r="G3995" s="77"/>
    </row>
    <row r="3996" spans="1:7" ht="12.75" x14ac:dyDescent="0.2">
      <c r="A3996" s="78"/>
      <c r="B3996" s="78"/>
      <c r="C3996" s="78"/>
      <c r="D3996" s="78"/>
      <c r="E3996" s="80">
        <f ca="1">IFERROR(__xludf.DUMMYFUNCTION("""COMPUTED_VALUE"""),0)</f>
        <v>0</v>
      </c>
      <c r="F3996" s="77"/>
      <c r="G3996" s="77"/>
    </row>
    <row r="3997" spans="1:7" ht="12.75" x14ac:dyDescent="0.2">
      <c r="A3997" s="78"/>
      <c r="B3997" s="78"/>
      <c r="C3997" s="78"/>
      <c r="D3997" s="78"/>
      <c r="E3997" s="80">
        <f ca="1">IFERROR(__xludf.DUMMYFUNCTION("""COMPUTED_VALUE"""),0)</f>
        <v>0</v>
      </c>
      <c r="F3997" s="77"/>
      <c r="G3997" s="77"/>
    </row>
    <row r="3998" spans="1:7" ht="12.75" x14ac:dyDescent="0.2">
      <c r="A3998" s="78"/>
      <c r="B3998" s="78"/>
      <c r="C3998" s="78"/>
      <c r="D3998" s="78"/>
      <c r="E3998" s="80">
        <f ca="1">IFERROR(__xludf.DUMMYFUNCTION("""COMPUTED_VALUE"""),0)</f>
        <v>0</v>
      </c>
      <c r="F3998" s="77"/>
      <c r="G3998" s="77"/>
    </row>
    <row r="3999" spans="1:7" ht="12.75" x14ac:dyDescent="0.2">
      <c r="A3999" s="78"/>
      <c r="B3999" s="78"/>
      <c r="C3999" s="78"/>
      <c r="D3999" s="78"/>
      <c r="E3999" s="80">
        <f ca="1">IFERROR(__xludf.DUMMYFUNCTION("""COMPUTED_VALUE"""),0)</f>
        <v>0</v>
      </c>
      <c r="F3999" s="77"/>
      <c r="G3999" s="77"/>
    </row>
    <row r="4000" spans="1:7" ht="12.75" x14ac:dyDescent="0.2">
      <c r="A4000" s="78"/>
      <c r="B4000" s="78"/>
      <c r="C4000" s="78"/>
      <c r="D4000" s="78"/>
      <c r="E4000" s="80">
        <f ca="1">IFERROR(__xludf.DUMMYFUNCTION("""COMPUTED_VALUE"""),0)</f>
        <v>0</v>
      </c>
      <c r="F4000" s="77"/>
      <c r="G4000" s="77"/>
    </row>
    <row r="4001" spans="5:7" ht="12.75" x14ac:dyDescent="0.2">
      <c r="E4001" s="77"/>
      <c r="F4001" s="77"/>
      <c r="G4001" s="77"/>
    </row>
    <row r="4002" spans="5:7" ht="12.75" x14ac:dyDescent="0.2">
      <c r="E4002" s="77"/>
      <c r="F4002" s="77"/>
      <c r="G4002" s="77"/>
    </row>
    <row r="4003" spans="5:7" ht="12.75" x14ac:dyDescent="0.2">
      <c r="E4003" s="77"/>
      <c r="F4003" s="77"/>
      <c r="G4003" s="77"/>
    </row>
    <row r="4004" spans="5:7" ht="12.75" x14ac:dyDescent="0.2">
      <c r="E4004" s="77"/>
      <c r="F4004" s="77"/>
      <c r="G4004" s="77"/>
    </row>
    <row r="4005" spans="5:7" ht="12.75" x14ac:dyDescent="0.2">
      <c r="E4005" s="77"/>
      <c r="F4005" s="77"/>
      <c r="G4005" s="77"/>
    </row>
    <row r="4006" spans="5:7" ht="12.75" x14ac:dyDescent="0.2">
      <c r="E4006" s="77"/>
      <c r="F4006" s="77"/>
      <c r="G4006" s="77"/>
    </row>
    <row r="4007" spans="5:7" ht="12.75" x14ac:dyDescent="0.2">
      <c r="E4007" s="77"/>
      <c r="F4007" s="77"/>
      <c r="G4007" s="77"/>
    </row>
    <row r="4008" spans="5:7" ht="12.75" x14ac:dyDescent="0.2">
      <c r="E4008" s="77"/>
      <c r="F4008" s="77"/>
      <c r="G4008" s="77"/>
    </row>
    <row r="4009" spans="5:7" ht="12.75" x14ac:dyDescent="0.2">
      <c r="E4009" s="77"/>
      <c r="F4009" s="77"/>
      <c r="G4009" s="77"/>
    </row>
    <row r="4010" spans="5:7" ht="12.75" x14ac:dyDescent="0.2">
      <c r="E4010" s="77"/>
      <c r="F4010" s="77"/>
      <c r="G4010" s="77"/>
    </row>
    <row r="4011" spans="5:7" ht="12.75" x14ac:dyDescent="0.2">
      <c r="E4011" s="77"/>
      <c r="F4011" s="77"/>
      <c r="G4011" s="77"/>
    </row>
    <row r="4012" spans="5:7" ht="12.75" x14ac:dyDescent="0.2">
      <c r="E4012" s="77"/>
      <c r="F4012" s="77"/>
      <c r="G4012" s="77"/>
    </row>
    <row r="4013" spans="5:7" ht="12.75" x14ac:dyDescent="0.2">
      <c r="E4013" s="77"/>
      <c r="F4013" s="77"/>
      <c r="G4013" s="77"/>
    </row>
    <row r="4014" spans="5:7" ht="12.75" x14ac:dyDescent="0.2">
      <c r="E4014" s="77"/>
      <c r="F4014" s="77"/>
      <c r="G4014" s="77"/>
    </row>
    <row r="4015" spans="5:7" ht="12.75" x14ac:dyDescent="0.2">
      <c r="E4015" s="77"/>
      <c r="F4015" s="77"/>
      <c r="G4015" s="77"/>
    </row>
    <row r="4016" spans="5:7" ht="12.75" x14ac:dyDescent="0.2">
      <c r="E4016" s="77"/>
      <c r="F4016" s="77"/>
      <c r="G4016" s="77"/>
    </row>
    <row r="4017" spans="5:7" ht="12.75" x14ac:dyDescent="0.2">
      <c r="E4017" s="77"/>
      <c r="F4017" s="77"/>
      <c r="G4017" s="77"/>
    </row>
    <row r="4018" spans="5:7" ht="12.75" x14ac:dyDescent="0.2">
      <c r="E4018" s="77"/>
      <c r="F4018" s="77"/>
      <c r="G4018" s="77"/>
    </row>
    <row r="4019" spans="5:7" ht="12.75" x14ac:dyDescent="0.2">
      <c r="E4019" s="77"/>
      <c r="F4019" s="77"/>
      <c r="G4019" s="77"/>
    </row>
    <row r="4020" spans="5:7" ht="12.75" x14ac:dyDescent="0.2">
      <c r="E4020" s="77"/>
      <c r="F4020" s="77"/>
      <c r="G4020" s="77"/>
    </row>
    <row r="4021" spans="5:7" ht="12.75" x14ac:dyDescent="0.2">
      <c r="E4021" s="77"/>
      <c r="F4021" s="77"/>
      <c r="G4021" s="77"/>
    </row>
    <row r="4022" spans="5:7" ht="12.75" x14ac:dyDescent="0.2">
      <c r="E4022" s="77"/>
      <c r="F4022" s="77"/>
      <c r="G4022" s="77"/>
    </row>
    <row r="4023" spans="5:7" ht="12.75" x14ac:dyDescent="0.2">
      <c r="E4023" s="77"/>
      <c r="F4023" s="77"/>
      <c r="G4023" s="77"/>
    </row>
    <row r="4024" spans="5:7" ht="12.75" x14ac:dyDescent="0.2">
      <c r="E4024" s="77"/>
      <c r="F4024" s="77"/>
      <c r="G4024" s="77"/>
    </row>
    <row r="4025" spans="5:7" ht="12.75" x14ac:dyDescent="0.2">
      <c r="E4025" s="77"/>
      <c r="F4025" s="77"/>
      <c r="G4025" s="77"/>
    </row>
    <row r="4026" spans="5:7" ht="12.75" x14ac:dyDescent="0.2">
      <c r="E4026" s="77"/>
      <c r="F4026" s="77"/>
      <c r="G4026" s="77"/>
    </row>
    <row r="4027" spans="5:7" ht="12.75" x14ac:dyDescent="0.2">
      <c r="E4027" s="77"/>
      <c r="F4027" s="77"/>
      <c r="G4027" s="77"/>
    </row>
    <row r="4028" spans="5:7" ht="12.75" x14ac:dyDescent="0.2">
      <c r="E4028" s="77"/>
      <c r="F4028" s="77"/>
      <c r="G4028" s="77"/>
    </row>
    <row r="4029" spans="5:7" ht="12.75" x14ac:dyDescent="0.2">
      <c r="E4029" s="77"/>
      <c r="F4029" s="77"/>
      <c r="G4029" s="77"/>
    </row>
    <row r="4030" spans="5:7" ht="12.75" x14ac:dyDescent="0.2">
      <c r="E4030" s="77"/>
      <c r="F4030" s="77"/>
      <c r="G4030" s="77"/>
    </row>
    <row r="4031" spans="5:7" ht="12.75" x14ac:dyDescent="0.2">
      <c r="E4031" s="77"/>
      <c r="F4031" s="77"/>
      <c r="G4031" s="77"/>
    </row>
    <row r="4032" spans="5:7" ht="12.75" x14ac:dyDescent="0.2">
      <c r="E4032" s="77"/>
      <c r="F4032" s="77"/>
      <c r="G4032" s="77"/>
    </row>
    <row r="4033" spans="5:7" ht="12.75" x14ac:dyDescent="0.2">
      <c r="E4033" s="77"/>
      <c r="F4033" s="77"/>
      <c r="G4033" s="77"/>
    </row>
    <row r="4034" spans="5:7" ht="12.75" x14ac:dyDescent="0.2">
      <c r="E4034" s="77"/>
      <c r="F4034" s="77"/>
      <c r="G4034" s="77"/>
    </row>
    <row r="4035" spans="5:7" ht="12.75" x14ac:dyDescent="0.2">
      <c r="E4035" s="77"/>
      <c r="F4035" s="77"/>
      <c r="G4035" s="77"/>
    </row>
    <row r="4036" spans="5:7" ht="12.75" x14ac:dyDescent="0.2">
      <c r="E4036" s="77"/>
      <c r="F4036" s="77"/>
      <c r="G4036" s="77"/>
    </row>
    <row r="4037" spans="5:7" ht="12.75" x14ac:dyDescent="0.2">
      <c r="E4037" s="77"/>
      <c r="F4037" s="77"/>
      <c r="G4037" s="77"/>
    </row>
    <row r="4038" spans="5:7" ht="12.75" x14ac:dyDescent="0.2">
      <c r="E4038" s="77"/>
      <c r="F4038" s="77"/>
      <c r="G4038" s="77"/>
    </row>
    <row r="4039" spans="5:7" ht="12.75" x14ac:dyDescent="0.2">
      <c r="E4039" s="77"/>
      <c r="F4039" s="77"/>
      <c r="G4039" s="77"/>
    </row>
    <row r="4040" spans="5:7" ht="12.75" x14ac:dyDescent="0.2">
      <c r="E4040" s="77"/>
      <c r="F4040" s="77"/>
      <c r="G4040" s="77"/>
    </row>
    <row r="4041" spans="5:7" ht="12.75" x14ac:dyDescent="0.2">
      <c r="E4041" s="77"/>
      <c r="F4041" s="77"/>
      <c r="G4041" s="77"/>
    </row>
    <row r="4042" spans="5:7" ht="12.75" x14ac:dyDescent="0.2">
      <c r="E4042" s="77"/>
      <c r="F4042" s="77"/>
      <c r="G4042" s="77"/>
    </row>
    <row r="4043" spans="5:7" ht="12.75" x14ac:dyDescent="0.2">
      <c r="E4043" s="77"/>
      <c r="F4043" s="77"/>
      <c r="G4043" s="77"/>
    </row>
    <row r="4044" spans="5:7" ht="12.75" x14ac:dyDescent="0.2">
      <c r="E4044" s="77"/>
      <c r="F4044" s="77"/>
      <c r="G4044" s="77"/>
    </row>
    <row r="4045" spans="5:7" ht="12.75" x14ac:dyDescent="0.2">
      <c r="E4045" s="77"/>
      <c r="F4045" s="77"/>
      <c r="G4045" s="77"/>
    </row>
    <row r="4046" spans="5:7" ht="12.75" x14ac:dyDescent="0.2">
      <c r="E4046" s="77"/>
      <c r="F4046" s="77"/>
      <c r="G4046" s="77"/>
    </row>
    <row r="4047" spans="5:7" ht="12.75" x14ac:dyDescent="0.2">
      <c r="E4047" s="77"/>
      <c r="F4047" s="77"/>
      <c r="G4047" s="77"/>
    </row>
    <row r="4048" spans="5:7" ht="12.75" x14ac:dyDescent="0.2">
      <c r="E4048" s="77"/>
      <c r="F4048" s="77"/>
      <c r="G4048" s="77"/>
    </row>
    <row r="4049" spans="5:7" ht="12.75" x14ac:dyDescent="0.2">
      <c r="E4049" s="77"/>
      <c r="F4049" s="77"/>
      <c r="G4049" s="77"/>
    </row>
    <row r="4050" spans="5:7" ht="12.75" x14ac:dyDescent="0.2">
      <c r="E4050" s="77"/>
      <c r="F4050" s="77"/>
      <c r="G4050" s="77"/>
    </row>
    <row r="4051" spans="5:7" ht="12.75" x14ac:dyDescent="0.2">
      <c r="E4051" s="77"/>
      <c r="F4051" s="77"/>
      <c r="G4051" s="77"/>
    </row>
    <row r="4052" spans="5:7" ht="12.75" x14ac:dyDescent="0.2">
      <c r="E4052" s="77"/>
      <c r="F4052" s="77"/>
      <c r="G4052" s="77"/>
    </row>
    <row r="4053" spans="5:7" ht="12.75" x14ac:dyDescent="0.2">
      <c r="E4053" s="77"/>
      <c r="F4053" s="77"/>
      <c r="G4053" s="77"/>
    </row>
    <row r="4054" spans="5:7" ht="12.75" x14ac:dyDescent="0.2">
      <c r="E4054" s="77"/>
      <c r="F4054" s="77"/>
      <c r="G4054" s="77"/>
    </row>
    <row r="4055" spans="5:7" ht="12.75" x14ac:dyDescent="0.2">
      <c r="E4055" s="77"/>
      <c r="F4055" s="77"/>
      <c r="G4055" s="77"/>
    </row>
    <row r="4056" spans="5:7" ht="12.75" x14ac:dyDescent="0.2">
      <c r="E4056" s="77"/>
      <c r="F4056" s="77"/>
      <c r="G4056" s="77"/>
    </row>
    <row r="4057" spans="5:7" ht="12.75" x14ac:dyDescent="0.2">
      <c r="E4057" s="77"/>
      <c r="F4057" s="77"/>
      <c r="G4057" s="77"/>
    </row>
    <row r="4058" spans="5:7" ht="12.75" x14ac:dyDescent="0.2">
      <c r="E4058" s="77"/>
      <c r="F4058" s="77"/>
      <c r="G4058" s="77"/>
    </row>
    <row r="4059" spans="5:7" ht="12.75" x14ac:dyDescent="0.2">
      <c r="E4059" s="77"/>
      <c r="F4059" s="77"/>
      <c r="G4059" s="77"/>
    </row>
    <row r="4060" spans="5:7" ht="12.75" x14ac:dyDescent="0.2">
      <c r="E4060" s="77"/>
      <c r="F4060" s="77"/>
      <c r="G4060" s="77"/>
    </row>
    <row r="4061" spans="5:7" ht="12.75" x14ac:dyDescent="0.2">
      <c r="E4061" s="77"/>
      <c r="F4061" s="77"/>
      <c r="G4061" s="77"/>
    </row>
    <row r="4062" spans="5:7" ht="12.75" x14ac:dyDescent="0.2">
      <c r="E4062" s="77"/>
      <c r="F4062" s="77"/>
      <c r="G4062" s="77"/>
    </row>
    <row r="4063" spans="5:7" ht="12.75" x14ac:dyDescent="0.2">
      <c r="E4063" s="77"/>
      <c r="F4063" s="77"/>
      <c r="G4063" s="77"/>
    </row>
    <row r="4064" spans="5:7" ht="12.75" x14ac:dyDescent="0.2">
      <c r="E4064" s="77"/>
      <c r="F4064" s="77"/>
      <c r="G4064" s="77"/>
    </row>
    <row r="4065" spans="5:7" ht="12.75" x14ac:dyDescent="0.2">
      <c r="E4065" s="77"/>
      <c r="F4065" s="77"/>
      <c r="G4065" s="77"/>
    </row>
    <row r="4066" spans="5:7" ht="12.75" x14ac:dyDescent="0.2">
      <c r="E4066" s="77"/>
      <c r="F4066" s="77"/>
      <c r="G4066" s="77"/>
    </row>
    <row r="4067" spans="5:7" ht="12.75" x14ac:dyDescent="0.2">
      <c r="E4067" s="77"/>
      <c r="F4067" s="77"/>
      <c r="G4067" s="77"/>
    </row>
    <row r="4068" spans="5:7" ht="12.75" x14ac:dyDescent="0.2">
      <c r="E4068" s="77"/>
      <c r="F4068" s="77"/>
      <c r="G4068" s="77"/>
    </row>
    <row r="4069" spans="5:7" ht="12.75" x14ac:dyDescent="0.2">
      <c r="E4069" s="77"/>
      <c r="F4069" s="77"/>
      <c r="G4069" s="77"/>
    </row>
    <row r="4070" spans="5:7" ht="12.75" x14ac:dyDescent="0.2">
      <c r="E4070" s="77"/>
      <c r="F4070" s="77"/>
      <c r="G4070" s="77"/>
    </row>
    <row r="4071" spans="5:7" ht="12.75" x14ac:dyDescent="0.2">
      <c r="E4071" s="77"/>
      <c r="F4071" s="77"/>
      <c r="G4071" s="77"/>
    </row>
    <row r="4072" spans="5:7" ht="12.75" x14ac:dyDescent="0.2">
      <c r="E4072" s="77"/>
      <c r="F4072" s="77"/>
      <c r="G4072" s="77"/>
    </row>
    <row r="4073" spans="5:7" ht="12.75" x14ac:dyDescent="0.2">
      <c r="E4073" s="77"/>
      <c r="F4073" s="77"/>
      <c r="G4073" s="77"/>
    </row>
    <row r="4074" spans="5:7" ht="12.75" x14ac:dyDescent="0.2">
      <c r="E4074" s="77"/>
      <c r="F4074" s="77"/>
      <c r="G4074" s="77"/>
    </row>
    <row r="4075" spans="5:7" ht="12.75" x14ac:dyDescent="0.2">
      <c r="E4075" s="77"/>
      <c r="F4075" s="77"/>
      <c r="G4075" s="77"/>
    </row>
    <row r="4076" spans="5:7" ht="12.75" x14ac:dyDescent="0.2">
      <c r="E4076" s="77"/>
      <c r="F4076" s="77"/>
      <c r="G4076" s="77"/>
    </row>
    <row r="4077" spans="5:7" ht="12.75" x14ac:dyDescent="0.2">
      <c r="E4077" s="77"/>
      <c r="F4077" s="77"/>
      <c r="G4077" s="77"/>
    </row>
    <row r="4078" spans="5:7" ht="12.75" x14ac:dyDescent="0.2">
      <c r="E4078" s="77"/>
      <c r="F4078" s="77"/>
      <c r="G4078" s="77"/>
    </row>
    <row r="4079" spans="5:7" ht="12.75" x14ac:dyDescent="0.2">
      <c r="E4079" s="77"/>
      <c r="F4079" s="77"/>
      <c r="G4079" s="77"/>
    </row>
    <row r="4080" spans="5:7" ht="12.75" x14ac:dyDescent="0.2">
      <c r="E4080" s="77"/>
      <c r="F4080" s="77"/>
      <c r="G4080" s="77"/>
    </row>
    <row r="4081" spans="5:7" ht="12.75" x14ac:dyDescent="0.2">
      <c r="E4081" s="77"/>
      <c r="F4081" s="77"/>
      <c r="G4081" s="77"/>
    </row>
    <row r="4082" spans="5:7" ht="12.75" x14ac:dyDescent="0.2">
      <c r="E4082" s="77"/>
      <c r="F4082" s="77"/>
      <c r="G4082" s="77"/>
    </row>
    <row r="4083" spans="5:7" ht="12.75" x14ac:dyDescent="0.2">
      <c r="E4083" s="77"/>
      <c r="F4083" s="77"/>
      <c r="G4083" s="77"/>
    </row>
    <row r="4084" spans="5:7" ht="12.75" x14ac:dyDescent="0.2">
      <c r="E4084" s="77"/>
      <c r="F4084" s="77"/>
      <c r="G4084" s="77"/>
    </row>
    <row r="4085" spans="5:7" ht="12.75" x14ac:dyDescent="0.2">
      <c r="E4085" s="77"/>
      <c r="F4085" s="77"/>
      <c r="G4085" s="77"/>
    </row>
    <row r="4086" spans="5:7" ht="12.75" x14ac:dyDescent="0.2">
      <c r="E4086" s="77"/>
      <c r="F4086" s="77"/>
      <c r="G4086" s="77"/>
    </row>
    <row r="4087" spans="5:7" ht="12.75" x14ac:dyDescent="0.2">
      <c r="E4087" s="77"/>
      <c r="F4087" s="77"/>
      <c r="G4087" s="77"/>
    </row>
    <row r="4088" spans="5:7" ht="12.75" x14ac:dyDescent="0.2">
      <c r="E4088" s="77"/>
      <c r="F4088" s="77"/>
      <c r="G4088" s="77"/>
    </row>
    <row r="4089" spans="5:7" ht="12.75" x14ac:dyDescent="0.2">
      <c r="E4089" s="77"/>
      <c r="F4089" s="77"/>
      <c r="G4089" s="77"/>
    </row>
    <row r="4090" spans="5:7" ht="12.75" x14ac:dyDescent="0.2">
      <c r="E4090" s="77"/>
      <c r="F4090" s="77"/>
      <c r="G4090" s="77"/>
    </row>
    <row r="4091" spans="5:7" ht="12.75" x14ac:dyDescent="0.2">
      <c r="E4091" s="77"/>
      <c r="F4091" s="77"/>
      <c r="G4091" s="77"/>
    </row>
    <row r="4092" spans="5:7" ht="12.75" x14ac:dyDescent="0.2">
      <c r="E4092" s="77"/>
      <c r="F4092" s="77"/>
      <c r="G4092" s="77"/>
    </row>
    <row r="4093" spans="5:7" ht="12.75" x14ac:dyDescent="0.2">
      <c r="E4093" s="77"/>
      <c r="F4093" s="77"/>
      <c r="G4093" s="77"/>
    </row>
    <row r="4094" spans="5:7" ht="12.75" x14ac:dyDescent="0.2">
      <c r="E4094" s="77"/>
      <c r="F4094" s="77"/>
      <c r="G4094" s="77"/>
    </row>
    <row r="4095" spans="5:7" ht="12.75" x14ac:dyDescent="0.2">
      <c r="E4095" s="77"/>
      <c r="F4095" s="77"/>
      <c r="G4095" s="77"/>
    </row>
    <row r="4096" spans="5:7" ht="12.75" x14ac:dyDescent="0.2">
      <c r="E4096" s="77"/>
      <c r="F4096" s="77"/>
      <c r="G4096" s="77"/>
    </row>
    <row r="4097" spans="5:7" ht="12.75" x14ac:dyDescent="0.2">
      <c r="E4097" s="77"/>
      <c r="F4097" s="77"/>
      <c r="G4097" s="77"/>
    </row>
    <row r="4098" spans="5:7" ht="12.75" x14ac:dyDescent="0.2">
      <c r="E4098" s="77"/>
      <c r="F4098" s="77"/>
      <c r="G4098" s="77"/>
    </row>
    <row r="4099" spans="5:7" ht="12.75" x14ac:dyDescent="0.2">
      <c r="E4099" s="77"/>
      <c r="F4099" s="77"/>
      <c r="G4099" s="77"/>
    </row>
    <row r="4100" spans="5:7" ht="12.75" x14ac:dyDescent="0.2">
      <c r="E4100" s="77"/>
      <c r="F4100" s="77"/>
      <c r="G4100" s="77"/>
    </row>
    <row r="4101" spans="5:7" ht="12.75" x14ac:dyDescent="0.2">
      <c r="E4101" s="77"/>
      <c r="F4101" s="77"/>
      <c r="G4101" s="77"/>
    </row>
    <row r="4102" spans="5:7" ht="12.75" x14ac:dyDescent="0.2">
      <c r="E4102" s="77"/>
      <c r="F4102" s="77"/>
      <c r="G4102" s="77"/>
    </row>
    <row r="4103" spans="5:7" ht="12.75" x14ac:dyDescent="0.2">
      <c r="E4103" s="77"/>
      <c r="F4103" s="77"/>
      <c r="G4103" s="77"/>
    </row>
    <row r="4104" spans="5:7" ht="12.75" x14ac:dyDescent="0.2">
      <c r="E4104" s="77"/>
      <c r="F4104" s="77"/>
      <c r="G4104" s="77"/>
    </row>
    <row r="4105" spans="5:7" ht="12.75" x14ac:dyDescent="0.2">
      <c r="E4105" s="77"/>
      <c r="F4105" s="77"/>
      <c r="G4105" s="77"/>
    </row>
    <row r="4106" spans="5:7" ht="12.75" x14ac:dyDescent="0.2">
      <c r="E4106" s="77"/>
      <c r="F4106" s="77"/>
      <c r="G4106" s="77"/>
    </row>
    <row r="4107" spans="5:7" ht="12.75" x14ac:dyDescent="0.2">
      <c r="E4107" s="77"/>
      <c r="F4107" s="77"/>
      <c r="G4107" s="77"/>
    </row>
    <row r="4108" spans="5:7" ht="12.75" x14ac:dyDescent="0.2">
      <c r="E4108" s="77"/>
      <c r="F4108" s="77"/>
      <c r="G4108" s="77"/>
    </row>
    <row r="4109" spans="5:7" ht="12.75" x14ac:dyDescent="0.2">
      <c r="E4109" s="77"/>
      <c r="F4109" s="77"/>
      <c r="G4109" s="77"/>
    </row>
    <row r="4110" spans="5:7" ht="12.75" x14ac:dyDescent="0.2">
      <c r="E4110" s="77"/>
      <c r="F4110" s="77"/>
      <c r="G4110" s="77"/>
    </row>
    <row r="4111" spans="5:7" ht="12.75" x14ac:dyDescent="0.2">
      <c r="E4111" s="77"/>
      <c r="F4111" s="77"/>
      <c r="G4111" s="77"/>
    </row>
    <row r="4112" spans="5:7" ht="12.75" x14ac:dyDescent="0.2">
      <c r="E4112" s="77"/>
      <c r="F4112" s="77"/>
      <c r="G4112" s="77"/>
    </row>
    <row r="4113" spans="5:7" ht="12.75" x14ac:dyDescent="0.2">
      <c r="E4113" s="77"/>
      <c r="F4113" s="77"/>
      <c r="G4113" s="77"/>
    </row>
    <row r="4114" spans="5:7" ht="12.75" x14ac:dyDescent="0.2">
      <c r="E4114" s="77"/>
      <c r="F4114" s="77"/>
      <c r="G4114" s="77"/>
    </row>
    <row r="4115" spans="5:7" ht="12.75" x14ac:dyDescent="0.2">
      <c r="E4115" s="77"/>
      <c r="F4115" s="77"/>
      <c r="G4115" s="77"/>
    </row>
    <row r="4116" spans="5:7" ht="12.75" x14ac:dyDescent="0.2">
      <c r="E4116" s="77"/>
      <c r="F4116" s="77"/>
      <c r="G4116" s="77"/>
    </row>
    <row r="4117" spans="5:7" ht="12.75" x14ac:dyDescent="0.2">
      <c r="E4117" s="77"/>
      <c r="F4117" s="77"/>
      <c r="G4117" s="77"/>
    </row>
    <row r="4118" spans="5:7" ht="12.75" x14ac:dyDescent="0.2">
      <c r="E4118" s="77"/>
      <c r="F4118" s="77"/>
      <c r="G4118" s="77"/>
    </row>
    <row r="4119" spans="5:7" ht="12.75" x14ac:dyDescent="0.2">
      <c r="E4119" s="77"/>
      <c r="F4119" s="77"/>
      <c r="G4119" s="77"/>
    </row>
    <row r="4120" spans="5:7" ht="12.75" x14ac:dyDescent="0.2">
      <c r="E4120" s="77"/>
      <c r="F4120" s="77"/>
      <c r="G4120" s="77"/>
    </row>
    <row r="4121" spans="5:7" ht="12.75" x14ac:dyDescent="0.2">
      <c r="E4121" s="77"/>
      <c r="F4121" s="77"/>
      <c r="G4121" s="77"/>
    </row>
    <row r="4122" spans="5:7" ht="12.75" x14ac:dyDescent="0.2">
      <c r="E4122" s="77"/>
      <c r="F4122" s="77"/>
      <c r="G4122" s="77"/>
    </row>
    <row r="4123" spans="5:7" ht="12.75" x14ac:dyDescent="0.2">
      <c r="E4123" s="77"/>
      <c r="F4123" s="77"/>
      <c r="G4123" s="77"/>
    </row>
    <row r="4124" spans="5:7" ht="12.75" x14ac:dyDescent="0.2">
      <c r="E4124" s="77"/>
      <c r="F4124" s="77"/>
      <c r="G4124" s="77"/>
    </row>
    <row r="4125" spans="5:7" ht="12.75" x14ac:dyDescent="0.2">
      <c r="E4125" s="77"/>
      <c r="F4125" s="77"/>
      <c r="G4125" s="77"/>
    </row>
    <row r="4126" spans="5:7" ht="12.75" x14ac:dyDescent="0.2">
      <c r="E4126" s="77"/>
      <c r="F4126" s="77"/>
      <c r="G4126" s="77"/>
    </row>
    <row r="4127" spans="5:7" ht="12.75" x14ac:dyDescent="0.2">
      <c r="E4127" s="77"/>
      <c r="F4127" s="77"/>
      <c r="G4127" s="77"/>
    </row>
    <row r="4128" spans="5:7" ht="12.75" x14ac:dyDescent="0.2">
      <c r="E4128" s="77"/>
      <c r="F4128" s="77"/>
      <c r="G4128" s="77"/>
    </row>
    <row r="4129" spans="5:7" ht="12.75" x14ac:dyDescent="0.2">
      <c r="E4129" s="77"/>
      <c r="F4129" s="77"/>
      <c r="G4129" s="77"/>
    </row>
    <row r="4130" spans="5:7" ht="12.75" x14ac:dyDescent="0.2">
      <c r="E4130" s="77"/>
      <c r="F4130" s="77"/>
      <c r="G4130" s="77"/>
    </row>
    <row r="4131" spans="5:7" ht="12.75" x14ac:dyDescent="0.2">
      <c r="E4131" s="77"/>
      <c r="F4131" s="77"/>
      <c r="G4131" s="77"/>
    </row>
    <row r="4132" spans="5:7" ht="12.75" x14ac:dyDescent="0.2">
      <c r="E4132" s="77"/>
      <c r="F4132" s="77"/>
      <c r="G4132" s="77"/>
    </row>
    <row r="4133" spans="5:7" ht="12.75" x14ac:dyDescent="0.2">
      <c r="E4133" s="77"/>
      <c r="F4133" s="77"/>
      <c r="G4133" s="77"/>
    </row>
    <row r="4134" spans="5:7" ht="12.75" x14ac:dyDescent="0.2">
      <c r="E4134" s="77"/>
      <c r="F4134" s="77"/>
      <c r="G4134" s="77"/>
    </row>
    <row r="4135" spans="5:7" ht="12.75" x14ac:dyDescent="0.2">
      <c r="E4135" s="77"/>
      <c r="F4135" s="77"/>
      <c r="G4135" s="77"/>
    </row>
    <row r="4136" spans="5:7" ht="12.75" x14ac:dyDescent="0.2">
      <c r="E4136" s="77"/>
      <c r="F4136" s="77"/>
      <c r="G4136" s="77"/>
    </row>
    <row r="4137" spans="5:7" ht="12.75" x14ac:dyDescent="0.2">
      <c r="E4137" s="77"/>
      <c r="F4137" s="77"/>
      <c r="G4137" s="77"/>
    </row>
    <row r="4138" spans="5:7" ht="12.75" x14ac:dyDescent="0.2">
      <c r="E4138" s="77"/>
      <c r="F4138" s="77"/>
      <c r="G4138" s="77"/>
    </row>
    <row r="4139" spans="5:7" ht="12.75" x14ac:dyDescent="0.2">
      <c r="E4139" s="77"/>
      <c r="F4139" s="77"/>
      <c r="G4139" s="77"/>
    </row>
    <row r="4140" spans="5:7" ht="12.75" x14ac:dyDescent="0.2">
      <c r="E4140" s="77"/>
      <c r="F4140" s="77"/>
      <c r="G4140" s="77"/>
    </row>
    <row r="4141" spans="5:7" ht="12.75" x14ac:dyDescent="0.2">
      <c r="E4141" s="77"/>
      <c r="F4141" s="77"/>
      <c r="G4141" s="77"/>
    </row>
    <row r="4142" spans="5:7" ht="12.75" x14ac:dyDescent="0.2">
      <c r="E4142" s="77"/>
      <c r="F4142" s="77"/>
      <c r="G4142" s="77"/>
    </row>
    <row r="4143" spans="5:7" ht="12.75" x14ac:dyDescent="0.2">
      <c r="E4143" s="77"/>
      <c r="F4143" s="77"/>
      <c r="G4143" s="77"/>
    </row>
    <row r="4144" spans="5:7" ht="12.75" x14ac:dyDescent="0.2">
      <c r="E4144" s="77"/>
      <c r="F4144" s="77"/>
      <c r="G4144" s="77"/>
    </row>
    <row r="4145" spans="5:7" ht="12.75" x14ac:dyDescent="0.2">
      <c r="E4145" s="77"/>
      <c r="F4145" s="77"/>
      <c r="G4145" s="77"/>
    </row>
    <row r="4146" spans="5:7" ht="12.75" x14ac:dyDescent="0.2">
      <c r="E4146" s="77"/>
      <c r="F4146" s="77"/>
      <c r="G4146" s="77"/>
    </row>
    <row r="4147" spans="5:7" ht="12.75" x14ac:dyDescent="0.2">
      <c r="E4147" s="77"/>
      <c r="F4147" s="77"/>
      <c r="G4147" s="77"/>
    </row>
    <row r="4148" spans="5:7" ht="12.75" x14ac:dyDescent="0.2">
      <c r="E4148" s="77"/>
      <c r="F4148" s="77"/>
      <c r="G4148" s="77"/>
    </row>
    <row r="4149" spans="5:7" ht="12.75" x14ac:dyDescent="0.2">
      <c r="E4149" s="77"/>
      <c r="F4149" s="77"/>
      <c r="G4149" s="77"/>
    </row>
    <row r="4150" spans="5:7" ht="12.75" x14ac:dyDescent="0.2">
      <c r="E4150" s="77"/>
      <c r="F4150" s="77"/>
      <c r="G4150" s="77"/>
    </row>
    <row r="4151" spans="5:7" ht="12.75" x14ac:dyDescent="0.2">
      <c r="E4151" s="77"/>
      <c r="F4151" s="77"/>
      <c r="G4151" s="77"/>
    </row>
    <row r="4152" spans="5:7" ht="12.75" x14ac:dyDescent="0.2">
      <c r="E4152" s="77"/>
      <c r="F4152" s="77"/>
      <c r="G4152" s="77"/>
    </row>
    <row r="4153" spans="5:7" ht="12.75" x14ac:dyDescent="0.2">
      <c r="E4153" s="77"/>
      <c r="F4153" s="77"/>
      <c r="G4153" s="77"/>
    </row>
    <row r="4154" spans="5:7" ht="12.75" x14ac:dyDescent="0.2">
      <c r="E4154" s="77"/>
      <c r="F4154" s="77"/>
      <c r="G4154" s="77"/>
    </row>
    <row r="4155" spans="5:7" ht="12.75" x14ac:dyDescent="0.2">
      <c r="E4155" s="77"/>
      <c r="F4155" s="77"/>
      <c r="G4155" s="77"/>
    </row>
    <row r="4156" spans="5:7" ht="12.75" x14ac:dyDescent="0.2">
      <c r="E4156" s="77"/>
      <c r="F4156" s="77"/>
      <c r="G4156" s="77"/>
    </row>
    <row r="4157" spans="5:7" ht="12.75" x14ac:dyDescent="0.2">
      <c r="E4157" s="77"/>
      <c r="F4157" s="77"/>
      <c r="G4157" s="77"/>
    </row>
    <row r="4158" spans="5:7" ht="12.75" x14ac:dyDescent="0.2">
      <c r="E4158" s="77"/>
      <c r="F4158" s="77"/>
      <c r="G4158" s="77"/>
    </row>
    <row r="4159" spans="5:7" ht="12.75" x14ac:dyDescent="0.2">
      <c r="E4159" s="77"/>
      <c r="F4159" s="77"/>
      <c r="G4159" s="77"/>
    </row>
    <row r="4160" spans="5:7" ht="12.75" x14ac:dyDescent="0.2">
      <c r="E4160" s="77"/>
      <c r="F4160" s="77"/>
      <c r="G4160" s="77"/>
    </row>
    <row r="4161" spans="5:7" ht="12.75" x14ac:dyDescent="0.2">
      <c r="E4161" s="77"/>
      <c r="F4161" s="77"/>
      <c r="G4161" s="77"/>
    </row>
    <row r="4162" spans="5:7" ht="12.75" x14ac:dyDescent="0.2">
      <c r="E4162" s="77"/>
      <c r="F4162" s="77"/>
      <c r="G4162" s="77"/>
    </row>
    <row r="4163" spans="5:7" ht="12.75" x14ac:dyDescent="0.2">
      <c r="E4163" s="77"/>
      <c r="F4163" s="77"/>
      <c r="G4163" s="77"/>
    </row>
    <row r="4164" spans="5:7" ht="12.75" x14ac:dyDescent="0.2">
      <c r="E4164" s="77"/>
      <c r="F4164" s="77"/>
      <c r="G4164" s="77"/>
    </row>
    <row r="4165" spans="5:7" ht="12.75" x14ac:dyDescent="0.2">
      <c r="E4165" s="77"/>
      <c r="F4165" s="77"/>
      <c r="G4165" s="77"/>
    </row>
    <row r="4166" spans="5:7" ht="12.75" x14ac:dyDescent="0.2">
      <c r="E4166" s="77"/>
      <c r="F4166" s="77"/>
      <c r="G4166" s="77"/>
    </row>
    <row r="4167" spans="5:7" ht="12.75" x14ac:dyDescent="0.2">
      <c r="E4167" s="77"/>
      <c r="F4167" s="77"/>
      <c r="G4167" s="77"/>
    </row>
    <row r="4168" spans="5:7" ht="12.75" x14ac:dyDescent="0.2">
      <c r="E4168" s="77"/>
      <c r="F4168" s="77"/>
      <c r="G4168" s="77"/>
    </row>
    <row r="4169" spans="5:7" ht="12.75" x14ac:dyDescent="0.2">
      <c r="E4169" s="77"/>
      <c r="F4169" s="77"/>
      <c r="G4169" s="77"/>
    </row>
    <row r="4170" spans="5:7" ht="12.75" x14ac:dyDescent="0.2">
      <c r="E4170" s="77"/>
      <c r="F4170" s="77"/>
      <c r="G4170" s="77"/>
    </row>
    <row r="4171" spans="5:7" ht="12.75" x14ac:dyDescent="0.2">
      <c r="E4171" s="77"/>
      <c r="F4171" s="77"/>
      <c r="G4171" s="77"/>
    </row>
    <row r="4172" spans="5:7" ht="12.75" x14ac:dyDescent="0.2">
      <c r="E4172" s="77"/>
      <c r="F4172" s="77"/>
      <c r="G4172" s="77"/>
    </row>
    <row r="4173" spans="5:7" ht="12.75" x14ac:dyDescent="0.2">
      <c r="E4173" s="77"/>
      <c r="F4173" s="77"/>
      <c r="G4173" s="77"/>
    </row>
    <row r="4174" spans="5:7" ht="12.75" x14ac:dyDescent="0.2">
      <c r="E4174" s="77"/>
      <c r="F4174" s="77"/>
      <c r="G4174" s="77"/>
    </row>
    <row r="4175" spans="5:7" ht="12.75" x14ac:dyDescent="0.2">
      <c r="E4175" s="77"/>
      <c r="F4175" s="77"/>
      <c r="G4175" s="77"/>
    </row>
    <row r="4176" spans="5:7" ht="12.75" x14ac:dyDescent="0.2">
      <c r="E4176" s="77"/>
      <c r="F4176" s="77"/>
      <c r="G4176" s="77"/>
    </row>
    <row r="4177" spans="5:7" ht="12.75" x14ac:dyDescent="0.2">
      <c r="E4177" s="77"/>
      <c r="F4177" s="77"/>
      <c r="G4177" s="77"/>
    </row>
    <row r="4178" spans="5:7" ht="12.75" x14ac:dyDescent="0.2">
      <c r="E4178" s="77"/>
      <c r="F4178" s="77"/>
      <c r="G4178" s="77"/>
    </row>
    <row r="4179" spans="5:7" ht="12.75" x14ac:dyDescent="0.2">
      <c r="E4179" s="77"/>
      <c r="F4179" s="77"/>
      <c r="G4179" s="77"/>
    </row>
    <row r="4180" spans="5:7" ht="12.75" x14ac:dyDescent="0.2">
      <c r="E4180" s="77"/>
      <c r="F4180" s="77"/>
      <c r="G4180" s="77"/>
    </row>
    <row r="4181" spans="5:7" ht="12.75" x14ac:dyDescent="0.2">
      <c r="E4181" s="77"/>
      <c r="F4181" s="77"/>
      <c r="G4181" s="77"/>
    </row>
    <row r="4182" spans="5:7" ht="12.75" x14ac:dyDescent="0.2">
      <c r="E4182" s="77"/>
      <c r="F4182" s="77"/>
      <c r="G4182" s="77"/>
    </row>
    <row r="4183" spans="5:7" ht="12.75" x14ac:dyDescent="0.2">
      <c r="E4183" s="77"/>
      <c r="F4183" s="77"/>
      <c r="G4183" s="77"/>
    </row>
    <row r="4184" spans="5:7" ht="12.75" x14ac:dyDescent="0.2">
      <c r="E4184" s="77"/>
      <c r="F4184" s="77"/>
      <c r="G4184" s="77"/>
    </row>
    <row r="4185" spans="5:7" ht="12.75" x14ac:dyDescent="0.2">
      <c r="E4185" s="77"/>
      <c r="F4185" s="77"/>
      <c r="G4185" s="77"/>
    </row>
    <row r="4186" spans="5:7" ht="12.75" x14ac:dyDescent="0.2">
      <c r="E4186" s="77"/>
      <c r="F4186" s="77"/>
      <c r="G4186" s="77"/>
    </row>
    <row r="4187" spans="5:7" ht="12.75" x14ac:dyDescent="0.2">
      <c r="E4187" s="77"/>
      <c r="F4187" s="77"/>
      <c r="G4187" s="77"/>
    </row>
    <row r="4188" spans="5:7" ht="12.75" x14ac:dyDescent="0.2">
      <c r="E4188" s="77"/>
      <c r="F4188" s="77"/>
      <c r="G4188" s="77"/>
    </row>
    <row r="4189" spans="5:7" ht="12.75" x14ac:dyDescent="0.2">
      <c r="E4189" s="77"/>
      <c r="F4189" s="77"/>
      <c r="G4189" s="77"/>
    </row>
    <row r="4190" spans="5:7" ht="12.75" x14ac:dyDescent="0.2">
      <c r="E4190" s="77"/>
      <c r="F4190" s="77"/>
      <c r="G4190" s="77"/>
    </row>
    <row r="4191" spans="5:7" ht="12.75" x14ac:dyDescent="0.2">
      <c r="E4191" s="77"/>
      <c r="F4191" s="77"/>
      <c r="G4191" s="77"/>
    </row>
    <row r="4192" spans="5:7" ht="12.75" x14ac:dyDescent="0.2">
      <c r="E4192" s="77"/>
      <c r="F4192" s="77"/>
      <c r="G4192" s="77"/>
    </row>
    <row r="4193" spans="5:7" ht="12.75" x14ac:dyDescent="0.2">
      <c r="E4193" s="77"/>
      <c r="F4193" s="77"/>
      <c r="G4193" s="77"/>
    </row>
    <row r="4194" spans="5:7" ht="12.75" x14ac:dyDescent="0.2">
      <c r="E4194" s="77"/>
      <c r="F4194" s="77"/>
      <c r="G4194" s="77"/>
    </row>
    <row r="4195" spans="5:7" ht="12.75" x14ac:dyDescent="0.2">
      <c r="E4195" s="77"/>
      <c r="F4195" s="77"/>
      <c r="G4195" s="77"/>
    </row>
    <row r="4196" spans="5:7" ht="12.75" x14ac:dyDescent="0.2">
      <c r="E4196" s="77"/>
      <c r="F4196" s="77"/>
      <c r="G4196" s="77"/>
    </row>
    <row r="4197" spans="5:7" ht="12.75" x14ac:dyDescent="0.2">
      <c r="E4197" s="77"/>
      <c r="F4197" s="77"/>
      <c r="G4197" s="77"/>
    </row>
    <row r="4198" spans="5:7" ht="12.75" x14ac:dyDescent="0.2">
      <c r="E4198" s="77"/>
      <c r="F4198" s="77"/>
      <c r="G4198" s="77"/>
    </row>
    <row r="4199" spans="5:7" ht="12.75" x14ac:dyDescent="0.2">
      <c r="E4199" s="77"/>
      <c r="F4199" s="77"/>
      <c r="G4199" s="77"/>
    </row>
    <row r="4200" spans="5:7" ht="12.75" x14ac:dyDescent="0.2">
      <c r="E4200" s="77"/>
      <c r="F4200" s="77"/>
      <c r="G4200" s="77"/>
    </row>
    <row r="4201" spans="5:7" ht="12.75" x14ac:dyDescent="0.2">
      <c r="E4201" s="77"/>
      <c r="F4201" s="77"/>
      <c r="G4201" s="77"/>
    </row>
    <row r="4202" spans="5:7" ht="12.75" x14ac:dyDescent="0.2">
      <c r="E4202" s="77"/>
      <c r="F4202" s="77"/>
      <c r="G4202" s="77"/>
    </row>
    <row r="4203" spans="5:7" ht="12.75" x14ac:dyDescent="0.2">
      <c r="E4203" s="77"/>
      <c r="F4203" s="77"/>
      <c r="G4203" s="77"/>
    </row>
    <row r="4204" spans="5:7" ht="12.75" x14ac:dyDescent="0.2">
      <c r="E4204" s="77"/>
      <c r="F4204" s="77"/>
      <c r="G4204" s="77"/>
    </row>
    <row r="4205" spans="5:7" ht="12.75" x14ac:dyDescent="0.2">
      <c r="E4205" s="77"/>
      <c r="F4205" s="77"/>
      <c r="G4205" s="77"/>
    </row>
    <row r="4206" spans="5:7" ht="12.75" x14ac:dyDescent="0.2">
      <c r="E4206" s="77"/>
      <c r="F4206" s="77"/>
      <c r="G4206" s="77"/>
    </row>
    <row r="4207" spans="5:7" ht="12.75" x14ac:dyDescent="0.2">
      <c r="E4207" s="77"/>
      <c r="F4207" s="77"/>
      <c r="G4207" s="77"/>
    </row>
    <row r="4208" spans="5:7" ht="12.75" x14ac:dyDescent="0.2">
      <c r="E4208" s="77"/>
      <c r="F4208" s="77"/>
      <c r="G4208" s="77"/>
    </row>
    <row r="4209" spans="5:7" ht="12.75" x14ac:dyDescent="0.2">
      <c r="E4209" s="77"/>
      <c r="F4209" s="77"/>
      <c r="G4209" s="77"/>
    </row>
    <row r="4210" spans="5:7" ht="12.75" x14ac:dyDescent="0.2">
      <c r="E4210" s="77"/>
      <c r="F4210" s="77"/>
      <c r="G4210" s="77"/>
    </row>
    <row r="4211" spans="5:7" ht="12.75" x14ac:dyDescent="0.2">
      <c r="E4211" s="77"/>
      <c r="F4211" s="77"/>
      <c r="G4211" s="77"/>
    </row>
    <row r="4212" spans="5:7" ht="12.75" x14ac:dyDescent="0.2">
      <c r="E4212" s="77"/>
      <c r="F4212" s="77"/>
      <c r="G4212" s="77"/>
    </row>
    <row r="4213" spans="5:7" ht="12.75" x14ac:dyDescent="0.2">
      <c r="E4213" s="77"/>
      <c r="F4213" s="77"/>
      <c r="G4213" s="77"/>
    </row>
    <row r="4214" spans="5:7" ht="12.75" x14ac:dyDescent="0.2">
      <c r="E4214" s="77"/>
      <c r="F4214" s="77"/>
      <c r="G4214" s="77"/>
    </row>
    <row r="4215" spans="5:7" ht="12.75" x14ac:dyDescent="0.2">
      <c r="E4215" s="77"/>
      <c r="F4215" s="77"/>
      <c r="G4215" s="77"/>
    </row>
    <row r="4216" spans="5:7" ht="12.75" x14ac:dyDescent="0.2">
      <c r="E4216" s="77"/>
      <c r="F4216" s="77"/>
      <c r="G4216" s="77"/>
    </row>
    <row r="4217" spans="5:7" ht="12.75" x14ac:dyDescent="0.2">
      <c r="E4217" s="77"/>
      <c r="F4217" s="77"/>
      <c r="G4217" s="77"/>
    </row>
    <row r="4218" spans="5:7" ht="12.75" x14ac:dyDescent="0.2">
      <c r="E4218" s="77"/>
      <c r="F4218" s="77"/>
      <c r="G4218" s="77"/>
    </row>
    <row r="4219" spans="5:7" ht="12.75" x14ac:dyDescent="0.2">
      <c r="E4219" s="77"/>
      <c r="F4219" s="77"/>
      <c r="G4219" s="77"/>
    </row>
    <row r="4220" spans="5:7" ht="12.75" x14ac:dyDescent="0.2">
      <c r="E4220" s="77"/>
      <c r="F4220" s="77"/>
      <c r="G4220" s="77"/>
    </row>
    <row r="4221" spans="5:7" ht="12.75" x14ac:dyDescent="0.2">
      <c r="E4221" s="77"/>
      <c r="F4221" s="77"/>
      <c r="G4221" s="77"/>
    </row>
    <row r="4222" spans="5:7" ht="12.75" x14ac:dyDescent="0.2">
      <c r="E4222" s="77"/>
      <c r="F4222" s="77"/>
      <c r="G4222" s="77"/>
    </row>
    <row r="4223" spans="5:7" ht="12.75" x14ac:dyDescent="0.2">
      <c r="E4223" s="77"/>
      <c r="F4223" s="77"/>
      <c r="G4223" s="77"/>
    </row>
    <row r="4224" spans="5:7" ht="12.75" x14ac:dyDescent="0.2">
      <c r="E4224" s="77"/>
      <c r="F4224" s="77"/>
      <c r="G4224" s="77"/>
    </row>
    <row r="4225" spans="5:7" ht="12.75" x14ac:dyDescent="0.2">
      <c r="E4225" s="77"/>
      <c r="F4225" s="77"/>
      <c r="G4225" s="77"/>
    </row>
    <row r="4226" spans="5:7" ht="12.75" x14ac:dyDescent="0.2">
      <c r="E4226" s="77"/>
      <c r="F4226" s="77"/>
      <c r="G4226" s="77"/>
    </row>
    <row r="4227" spans="5:7" ht="12.75" x14ac:dyDescent="0.2">
      <c r="E4227" s="77"/>
      <c r="F4227" s="77"/>
      <c r="G4227" s="77"/>
    </row>
    <row r="4228" spans="5:7" ht="12.75" x14ac:dyDescent="0.2">
      <c r="E4228" s="77"/>
      <c r="F4228" s="77"/>
      <c r="G4228" s="77"/>
    </row>
    <row r="4229" spans="5:7" ht="12.75" x14ac:dyDescent="0.2">
      <c r="E4229" s="77"/>
      <c r="F4229" s="77"/>
      <c r="G4229" s="77"/>
    </row>
    <row r="4230" spans="5:7" ht="12.75" x14ac:dyDescent="0.2">
      <c r="E4230" s="77"/>
      <c r="F4230" s="77"/>
      <c r="G4230" s="77"/>
    </row>
    <row r="4231" spans="5:7" ht="12.75" x14ac:dyDescent="0.2">
      <c r="E4231" s="77"/>
      <c r="F4231" s="77"/>
      <c r="G4231" s="77"/>
    </row>
    <row r="4232" spans="5:7" ht="12.75" x14ac:dyDescent="0.2">
      <c r="E4232" s="77"/>
      <c r="F4232" s="77"/>
      <c r="G4232" s="77"/>
    </row>
    <row r="4233" spans="5:7" ht="12.75" x14ac:dyDescent="0.2">
      <c r="E4233" s="77"/>
      <c r="F4233" s="77"/>
      <c r="G4233" s="77"/>
    </row>
    <row r="4234" spans="5:7" ht="12.75" x14ac:dyDescent="0.2">
      <c r="E4234" s="77"/>
      <c r="F4234" s="77"/>
      <c r="G4234" s="77"/>
    </row>
    <row r="4235" spans="5:7" ht="12.75" x14ac:dyDescent="0.2">
      <c r="E4235" s="77"/>
      <c r="F4235" s="77"/>
      <c r="G4235" s="77"/>
    </row>
    <row r="4236" spans="5:7" ht="12.75" x14ac:dyDescent="0.2">
      <c r="E4236" s="77"/>
      <c r="F4236" s="77"/>
      <c r="G4236" s="77"/>
    </row>
    <row r="4237" spans="5:7" ht="12.75" x14ac:dyDescent="0.2">
      <c r="E4237" s="77"/>
      <c r="F4237" s="77"/>
      <c r="G4237" s="77"/>
    </row>
    <row r="4238" spans="5:7" ht="12.75" x14ac:dyDescent="0.2">
      <c r="E4238" s="77"/>
      <c r="F4238" s="77"/>
      <c r="G4238" s="77"/>
    </row>
    <row r="4239" spans="5:7" ht="12.75" x14ac:dyDescent="0.2">
      <c r="E4239" s="77"/>
      <c r="F4239" s="77"/>
      <c r="G4239" s="77"/>
    </row>
    <row r="4240" spans="5:7" ht="12.75" x14ac:dyDescent="0.2">
      <c r="E4240" s="77"/>
      <c r="F4240" s="77"/>
      <c r="G4240" s="77"/>
    </row>
    <row r="4241" spans="5:7" ht="12.75" x14ac:dyDescent="0.2">
      <c r="E4241" s="77"/>
      <c r="F4241" s="77"/>
      <c r="G4241" s="77"/>
    </row>
    <row r="4242" spans="5:7" ht="12.75" x14ac:dyDescent="0.2">
      <c r="E4242" s="77"/>
      <c r="F4242" s="77"/>
      <c r="G4242" s="77"/>
    </row>
    <row r="4243" spans="5:7" ht="12.75" x14ac:dyDescent="0.2">
      <c r="E4243" s="77"/>
      <c r="F4243" s="77"/>
      <c r="G4243" s="77"/>
    </row>
    <row r="4244" spans="5:7" ht="12.75" x14ac:dyDescent="0.2">
      <c r="E4244" s="77"/>
      <c r="F4244" s="77"/>
      <c r="G4244" s="77"/>
    </row>
    <row r="4245" spans="5:7" ht="12.75" x14ac:dyDescent="0.2">
      <c r="E4245" s="77"/>
      <c r="F4245" s="77"/>
      <c r="G4245" s="77"/>
    </row>
    <row r="4246" spans="5:7" ht="12.75" x14ac:dyDescent="0.2">
      <c r="E4246" s="77"/>
      <c r="F4246" s="77"/>
      <c r="G4246" s="77"/>
    </row>
    <row r="4247" spans="5:7" ht="12.75" x14ac:dyDescent="0.2">
      <c r="E4247" s="77"/>
      <c r="F4247" s="77"/>
      <c r="G4247" s="77"/>
    </row>
    <row r="4248" spans="5:7" ht="12.75" x14ac:dyDescent="0.2">
      <c r="E4248" s="77"/>
      <c r="F4248" s="77"/>
      <c r="G4248" s="77"/>
    </row>
    <row r="4249" spans="5:7" ht="12.75" x14ac:dyDescent="0.2">
      <c r="E4249" s="77"/>
      <c r="F4249" s="77"/>
      <c r="G4249" s="77"/>
    </row>
    <row r="4250" spans="5:7" ht="12.75" x14ac:dyDescent="0.2">
      <c r="E4250" s="77"/>
      <c r="F4250" s="77"/>
      <c r="G4250" s="77"/>
    </row>
    <row r="4251" spans="5:7" ht="12.75" x14ac:dyDescent="0.2">
      <c r="E4251" s="77"/>
      <c r="F4251" s="77"/>
      <c r="G4251" s="77"/>
    </row>
    <row r="4252" spans="5:7" ht="12.75" x14ac:dyDescent="0.2">
      <c r="E4252" s="77"/>
      <c r="F4252" s="77"/>
      <c r="G4252" s="77"/>
    </row>
    <row r="4253" spans="5:7" ht="12.75" x14ac:dyDescent="0.2">
      <c r="E4253" s="77"/>
      <c r="F4253" s="77"/>
      <c r="G4253" s="77"/>
    </row>
    <row r="4254" spans="5:7" ht="12.75" x14ac:dyDescent="0.2">
      <c r="E4254" s="77"/>
      <c r="F4254" s="77"/>
      <c r="G4254" s="77"/>
    </row>
    <row r="4255" spans="5:7" ht="12.75" x14ac:dyDescent="0.2">
      <c r="E4255" s="77"/>
      <c r="F4255" s="77"/>
      <c r="G4255" s="77"/>
    </row>
    <row r="4256" spans="5:7" ht="12.75" x14ac:dyDescent="0.2">
      <c r="E4256" s="77"/>
      <c r="F4256" s="77"/>
      <c r="G4256" s="77"/>
    </row>
    <row r="4257" spans="5:7" ht="12.75" x14ac:dyDescent="0.2">
      <c r="E4257" s="77"/>
      <c r="F4257" s="77"/>
      <c r="G4257" s="77"/>
    </row>
    <row r="4258" spans="5:7" ht="12.75" x14ac:dyDescent="0.2">
      <c r="E4258" s="77"/>
      <c r="F4258" s="77"/>
      <c r="G4258" s="77"/>
    </row>
    <row r="4259" spans="5:7" ht="12.75" x14ac:dyDescent="0.2">
      <c r="E4259" s="77"/>
      <c r="F4259" s="77"/>
      <c r="G4259" s="77"/>
    </row>
    <row r="4260" spans="5:7" ht="12.75" x14ac:dyDescent="0.2">
      <c r="E4260" s="77"/>
      <c r="F4260" s="77"/>
      <c r="G4260" s="77"/>
    </row>
    <row r="4261" spans="5:7" ht="12.75" x14ac:dyDescent="0.2">
      <c r="E4261" s="77"/>
      <c r="F4261" s="77"/>
      <c r="G4261" s="77"/>
    </row>
    <row r="4262" spans="5:7" ht="12.75" x14ac:dyDescent="0.2">
      <c r="E4262" s="77"/>
      <c r="F4262" s="77"/>
      <c r="G4262" s="77"/>
    </row>
    <row r="4263" spans="5:7" ht="12.75" x14ac:dyDescent="0.2">
      <c r="E4263" s="77"/>
      <c r="F4263" s="77"/>
      <c r="G4263" s="77"/>
    </row>
    <row r="4264" spans="5:7" ht="12.75" x14ac:dyDescent="0.2">
      <c r="E4264" s="77"/>
      <c r="F4264" s="77"/>
      <c r="G4264" s="77"/>
    </row>
    <row r="4265" spans="5:7" ht="12.75" x14ac:dyDescent="0.2">
      <c r="E4265" s="77"/>
      <c r="F4265" s="77"/>
      <c r="G4265" s="77"/>
    </row>
    <row r="4266" spans="5:7" ht="12.75" x14ac:dyDescent="0.2">
      <c r="E4266" s="77"/>
      <c r="F4266" s="77"/>
      <c r="G4266" s="77"/>
    </row>
    <row r="4267" spans="5:7" ht="12.75" x14ac:dyDescent="0.2">
      <c r="E4267" s="77"/>
      <c r="F4267" s="77"/>
      <c r="G4267" s="77"/>
    </row>
    <row r="4268" spans="5:7" ht="12.75" x14ac:dyDescent="0.2">
      <c r="E4268" s="77"/>
      <c r="F4268" s="77"/>
      <c r="G4268" s="77"/>
    </row>
    <row r="4269" spans="5:7" ht="12.75" x14ac:dyDescent="0.2">
      <c r="E4269" s="77"/>
      <c r="F4269" s="77"/>
      <c r="G4269" s="77"/>
    </row>
    <row r="4270" spans="5:7" ht="12.75" x14ac:dyDescent="0.2">
      <c r="E4270" s="77"/>
      <c r="F4270" s="77"/>
      <c r="G4270" s="77"/>
    </row>
    <row r="4271" spans="5:7" ht="12.75" x14ac:dyDescent="0.2">
      <c r="E4271" s="77"/>
      <c r="F4271" s="77"/>
      <c r="G4271" s="77"/>
    </row>
    <row r="4272" spans="5:7" ht="12.75" x14ac:dyDescent="0.2">
      <c r="E4272" s="77"/>
      <c r="F4272" s="77"/>
      <c r="G4272" s="77"/>
    </row>
    <row r="4273" spans="5:7" ht="12.75" x14ac:dyDescent="0.2">
      <c r="E4273" s="77"/>
      <c r="F4273" s="77"/>
      <c r="G4273" s="77"/>
    </row>
    <row r="4274" spans="5:7" ht="12.75" x14ac:dyDescent="0.2">
      <c r="E4274" s="77"/>
      <c r="F4274" s="77"/>
      <c r="G4274" s="77"/>
    </row>
    <row r="4275" spans="5:7" ht="12.75" x14ac:dyDescent="0.2">
      <c r="E4275" s="77"/>
      <c r="F4275" s="77"/>
      <c r="G4275" s="77"/>
    </row>
    <row r="4276" spans="5:7" ht="12.75" x14ac:dyDescent="0.2">
      <c r="E4276" s="77"/>
      <c r="F4276" s="77"/>
      <c r="G4276" s="77"/>
    </row>
    <row r="4277" spans="5:7" ht="12.75" x14ac:dyDescent="0.2">
      <c r="E4277" s="77"/>
      <c r="F4277" s="77"/>
      <c r="G4277" s="77"/>
    </row>
    <row r="4278" spans="5:7" ht="12.75" x14ac:dyDescent="0.2">
      <c r="E4278" s="77"/>
      <c r="F4278" s="77"/>
      <c r="G4278" s="77"/>
    </row>
    <row r="4279" spans="5:7" ht="12.75" x14ac:dyDescent="0.2">
      <c r="E4279" s="77"/>
      <c r="F4279" s="77"/>
      <c r="G4279" s="77"/>
    </row>
    <row r="4280" spans="5:7" ht="12.75" x14ac:dyDescent="0.2">
      <c r="E4280" s="77"/>
      <c r="F4280" s="77"/>
      <c r="G4280" s="77"/>
    </row>
    <row r="4281" spans="5:7" ht="12.75" x14ac:dyDescent="0.2">
      <c r="E4281" s="77"/>
      <c r="F4281" s="77"/>
      <c r="G4281" s="77"/>
    </row>
    <row r="4282" spans="5:7" ht="12.75" x14ac:dyDescent="0.2">
      <c r="E4282" s="77"/>
      <c r="F4282" s="77"/>
      <c r="G4282" s="77"/>
    </row>
    <row r="4283" spans="5:7" ht="12.75" x14ac:dyDescent="0.2">
      <c r="E4283" s="77"/>
      <c r="F4283" s="77"/>
      <c r="G4283" s="77"/>
    </row>
    <row r="4284" spans="5:7" ht="12.75" x14ac:dyDescent="0.2">
      <c r="E4284" s="77"/>
      <c r="F4284" s="77"/>
      <c r="G4284" s="77"/>
    </row>
    <row r="4285" spans="5:7" ht="12.75" x14ac:dyDescent="0.2">
      <c r="E4285" s="77"/>
      <c r="F4285" s="77"/>
      <c r="G4285" s="77"/>
    </row>
    <row r="4286" spans="5:7" ht="12.75" x14ac:dyDescent="0.2">
      <c r="E4286" s="77"/>
      <c r="F4286" s="77"/>
      <c r="G4286" s="77"/>
    </row>
    <row r="4287" spans="5:7" ht="12.75" x14ac:dyDescent="0.2">
      <c r="E4287" s="77"/>
      <c r="F4287" s="77"/>
      <c r="G4287" s="77"/>
    </row>
    <row r="4288" spans="5:7" ht="12.75" x14ac:dyDescent="0.2">
      <c r="E4288" s="77"/>
      <c r="F4288" s="77"/>
      <c r="G4288" s="77"/>
    </row>
    <row r="4289" spans="5:7" ht="12.75" x14ac:dyDescent="0.2">
      <c r="E4289" s="77"/>
      <c r="F4289" s="77"/>
      <c r="G4289" s="77"/>
    </row>
    <row r="4290" spans="5:7" ht="12.75" x14ac:dyDescent="0.2">
      <c r="E4290" s="77"/>
      <c r="F4290" s="77"/>
      <c r="G4290" s="77"/>
    </row>
    <row r="4291" spans="5:7" ht="12.75" x14ac:dyDescent="0.2">
      <c r="E4291" s="77"/>
      <c r="F4291" s="77"/>
      <c r="G4291" s="77"/>
    </row>
    <row r="4292" spans="5:7" ht="12.75" x14ac:dyDescent="0.2">
      <c r="E4292" s="77"/>
      <c r="F4292" s="77"/>
      <c r="G4292" s="77"/>
    </row>
    <row r="4293" spans="5:7" ht="12.75" x14ac:dyDescent="0.2">
      <c r="E4293" s="77"/>
      <c r="F4293" s="77"/>
      <c r="G4293" s="77"/>
    </row>
    <row r="4294" spans="5:7" ht="12.75" x14ac:dyDescent="0.2">
      <c r="E4294" s="77"/>
      <c r="F4294" s="77"/>
      <c r="G4294" s="77"/>
    </row>
    <row r="4295" spans="5:7" ht="12.75" x14ac:dyDescent="0.2">
      <c r="E4295" s="77"/>
      <c r="F4295" s="77"/>
      <c r="G4295" s="77"/>
    </row>
    <row r="4296" spans="5:7" ht="12.75" x14ac:dyDescent="0.2">
      <c r="E4296" s="77"/>
      <c r="F4296" s="77"/>
      <c r="G4296" s="77"/>
    </row>
    <row r="4297" spans="5:7" ht="12.75" x14ac:dyDescent="0.2">
      <c r="E4297" s="77"/>
      <c r="F4297" s="77"/>
      <c r="G4297" s="77"/>
    </row>
    <row r="4298" spans="5:7" ht="12.75" x14ac:dyDescent="0.2">
      <c r="E4298" s="77"/>
      <c r="F4298" s="77"/>
      <c r="G4298" s="77"/>
    </row>
    <row r="4299" spans="5:7" ht="12.75" x14ac:dyDescent="0.2">
      <c r="E4299" s="77"/>
      <c r="F4299" s="77"/>
      <c r="G4299" s="77"/>
    </row>
    <row r="4300" spans="5:7" ht="12.75" x14ac:dyDescent="0.2">
      <c r="E4300" s="77"/>
      <c r="F4300" s="77"/>
      <c r="G4300" s="77"/>
    </row>
    <row r="4301" spans="5:7" ht="12.75" x14ac:dyDescent="0.2">
      <c r="E4301" s="77"/>
      <c r="F4301" s="77"/>
      <c r="G4301" s="77"/>
    </row>
    <row r="4302" spans="5:7" ht="12.75" x14ac:dyDescent="0.2">
      <c r="E4302" s="77"/>
      <c r="F4302" s="77"/>
      <c r="G4302" s="77"/>
    </row>
    <row r="4303" spans="5:7" ht="12.75" x14ac:dyDescent="0.2">
      <c r="E4303" s="77"/>
      <c r="F4303" s="77"/>
      <c r="G4303" s="77"/>
    </row>
    <row r="4304" spans="5:7" ht="12.75" x14ac:dyDescent="0.2">
      <c r="E4304" s="77"/>
      <c r="F4304" s="77"/>
      <c r="G4304" s="77"/>
    </row>
    <row r="4305" spans="5:7" ht="12.75" x14ac:dyDescent="0.2">
      <c r="E4305" s="77"/>
      <c r="F4305" s="77"/>
      <c r="G4305" s="77"/>
    </row>
    <row r="4306" spans="5:7" ht="12.75" x14ac:dyDescent="0.2">
      <c r="E4306" s="77"/>
      <c r="F4306" s="77"/>
      <c r="G4306" s="77"/>
    </row>
    <row r="4307" spans="5:7" ht="12.75" x14ac:dyDescent="0.2">
      <c r="E4307" s="77"/>
      <c r="F4307" s="77"/>
      <c r="G4307" s="77"/>
    </row>
    <row r="4308" spans="5:7" ht="12.75" x14ac:dyDescent="0.2">
      <c r="E4308" s="77"/>
      <c r="F4308" s="77"/>
      <c r="G4308" s="77"/>
    </row>
    <row r="4309" spans="5:7" ht="12.75" x14ac:dyDescent="0.2">
      <c r="E4309" s="77"/>
      <c r="F4309" s="77"/>
      <c r="G4309" s="77"/>
    </row>
    <row r="4310" spans="5:7" ht="12.75" x14ac:dyDescent="0.2">
      <c r="E4310" s="77"/>
      <c r="F4310" s="77"/>
      <c r="G4310" s="77"/>
    </row>
    <row r="4311" spans="5:7" ht="12.75" x14ac:dyDescent="0.2">
      <c r="E4311" s="77"/>
      <c r="F4311" s="77"/>
      <c r="G4311" s="77"/>
    </row>
    <row r="4312" spans="5:7" ht="12.75" x14ac:dyDescent="0.2">
      <c r="E4312" s="77"/>
      <c r="F4312" s="77"/>
      <c r="G4312" s="77"/>
    </row>
    <row r="4313" spans="5:7" ht="12.75" x14ac:dyDescent="0.2">
      <c r="E4313" s="77"/>
      <c r="F4313" s="77"/>
      <c r="G4313" s="77"/>
    </row>
    <row r="4314" spans="5:7" ht="12.75" x14ac:dyDescent="0.2">
      <c r="E4314" s="77"/>
      <c r="F4314" s="77"/>
      <c r="G4314" s="77"/>
    </row>
    <row r="4315" spans="5:7" ht="12.75" x14ac:dyDescent="0.2">
      <c r="E4315" s="77"/>
      <c r="F4315" s="77"/>
      <c r="G4315" s="77"/>
    </row>
    <row r="4316" spans="5:7" ht="12.75" x14ac:dyDescent="0.2">
      <c r="E4316" s="77"/>
      <c r="F4316" s="77"/>
      <c r="G4316" s="77"/>
    </row>
    <row r="4317" spans="5:7" ht="12.75" x14ac:dyDescent="0.2">
      <c r="E4317" s="77"/>
      <c r="F4317" s="77"/>
      <c r="G4317" s="77"/>
    </row>
    <row r="4318" spans="5:7" ht="12.75" x14ac:dyDescent="0.2">
      <c r="E4318" s="77"/>
      <c r="F4318" s="77"/>
      <c r="G4318" s="77"/>
    </row>
    <row r="4319" spans="5:7" ht="12.75" x14ac:dyDescent="0.2">
      <c r="E4319" s="77"/>
      <c r="F4319" s="77"/>
      <c r="G4319" s="77"/>
    </row>
    <row r="4320" spans="5:7" ht="12.75" x14ac:dyDescent="0.2">
      <c r="E4320" s="77"/>
      <c r="F4320" s="77"/>
      <c r="G4320" s="77"/>
    </row>
    <row r="4321" spans="5:7" ht="12.75" x14ac:dyDescent="0.2">
      <c r="E4321" s="77"/>
      <c r="F4321" s="77"/>
      <c r="G4321" s="77"/>
    </row>
    <row r="4322" spans="5:7" ht="12.75" x14ac:dyDescent="0.2">
      <c r="E4322" s="77"/>
      <c r="F4322" s="77"/>
      <c r="G4322" s="77"/>
    </row>
    <row r="4323" spans="5:7" ht="12.75" x14ac:dyDescent="0.2">
      <c r="E4323" s="77"/>
      <c r="F4323" s="77"/>
      <c r="G4323" s="77"/>
    </row>
    <row r="4324" spans="5:7" ht="12.75" x14ac:dyDescent="0.2">
      <c r="E4324" s="77"/>
      <c r="F4324" s="77"/>
      <c r="G4324" s="77"/>
    </row>
    <row r="4325" spans="5:7" ht="12.75" x14ac:dyDescent="0.2">
      <c r="E4325" s="77"/>
      <c r="F4325" s="77"/>
      <c r="G4325" s="77"/>
    </row>
    <row r="4326" spans="5:7" ht="12.75" x14ac:dyDescent="0.2">
      <c r="E4326" s="77"/>
      <c r="F4326" s="77"/>
      <c r="G4326" s="77"/>
    </row>
    <row r="4327" spans="5:7" ht="12.75" x14ac:dyDescent="0.2">
      <c r="E4327" s="77"/>
      <c r="F4327" s="77"/>
      <c r="G4327" s="77"/>
    </row>
    <row r="4328" spans="5:7" ht="12.75" x14ac:dyDescent="0.2">
      <c r="E4328" s="77"/>
      <c r="F4328" s="77"/>
      <c r="G4328" s="77"/>
    </row>
    <row r="4329" spans="5:7" ht="12.75" x14ac:dyDescent="0.2">
      <c r="E4329" s="77"/>
      <c r="F4329" s="77"/>
      <c r="G4329" s="77"/>
    </row>
    <row r="4330" spans="5:7" ht="12.75" x14ac:dyDescent="0.2">
      <c r="E4330" s="77"/>
      <c r="F4330" s="77"/>
      <c r="G4330" s="77"/>
    </row>
    <row r="4331" spans="5:7" ht="12.75" x14ac:dyDescent="0.2">
      <c r="E4331" s="77"/>
      <c r="F4331" s="77"/>
      <c r="G4331" s="77"/>
    </row>
    <row r="4332" spans="5:7" ht="12.75" x14ac:dyDescent="0.2">
      <c r="E4332" s="77"/>
      <c r="F4332" s="77"/>
      <c r="G4332" s="77"/>
    </row>
    <row r="4333" spans="5:7" ht="12.75" x14ac:dyDescent="0.2">
      <c r="E4333" s="77"/>
      <c r="F4333" s="77"/>
      <c r="G4333" s="77"/>
    </row>
    <row r="4334" spans="5:7" ht="12.75" x14ac:dyDescent="0.2">
      <c r="E4334" s="77"/>
      <c r="F4334" s="77"/>
      <c r="G4334" s="77"/>
    </row>
    <row r="4335" spans="5:7" ht="12.75" x14ac:dyDescent="0.2">
      <c r="E4335" s="77"/>
      <c r="F4335" s="77"/>
      <c r="G4335" s="77"/>
    </row>
    <row r="4336" spans="5:7" ht="12.75" x14ac:dyDescent="0.2">
      <c r="E4336" s="77"/>
      <c r="F4336" s="77"/>
      <c r="G4336" s="77"/>
    </row>
    <row r="4337" spans="5:7" ht="12.75" x14ac:dyDescent="0.2">
      <c r="E4337" s="77"/>
      <c r="F4337" s="77"/>
      <c r="G4337" s="77"/>
    </row>
    <row r="4338" spans="5:7" ht="12.75" x14ac:dyDescent="0.2">
      <c r="E4338" s="77"/>
      <c r="F4338" s="77"/>
      <c r="G4338" s="77"/>
    </row>
    <row r="4339" spans="5:7" ht="12.75" x14ac:dyDescent="0.2">
      <c r="E4339" s="77"/>
      <c r="F4339" s="77"/>
      <c r="G4339" s="77"/>
    </row>
    <row r="4340" spans="5:7" ht="12.75" x14ac:dyDescent="0.2">
      <c r="E4340" s="77"/>
      <c r="F4340" s="77"/>
      <c r="G4340" s="77"/>
    </row>
    <row r="4341" spans="5:7" ht="12.75" x14ac:dyDescent="0.2">
      <c r="E4341" s="77"/>
      <c r="F4341" s="77"/>
      <c r="G4341" s="77"/>
    </row>
    <row r="4342" spans="5:7" ht="12.75" x14ac:dyDescent="0.2">
      <c r="E4342" s="77"/>
      <c r="F4342" s="77"/>
      <c r="G4342" s="77"/>
    </row>
    <row r="4343" spans="5:7" ht="12.75" x14ac:dyDescent="0.2">
      <c r="E4343" s="77"/>
      <c r="F4343" s="77"/>
      <c r="G4343" s="77"/>
    </row>
    <row r="4344" spans="5:7" ht="12.75" x14ac:dyDescent="0.2">
      <c r="E4344" s="77"/>
      <c r="F4344" s="77"/>
      <c r="G4344" s="77"/>
    </row>
    <row r="4345" spans="5:7" ht="12.75" x14ac:dyDescent="0.2">
      <c r="E4345" s="77"/>
      <c r="F4345" s="77"/>
      <c r="G4345" s="77"/>
    </row>
    <row r="4346" spans="5:7" ht="12.75" x14ac:dyDescent="0.2">
      <c r="E4346" s="77"/>
      <c r="F4346" s="77"/>
      <c r="G4346" s="77"/>
    </row>
    <row r="4347" spans="5:7" ht="12.75" x14ac:dyDescent="0.2">
      <c r="E4347" s="77"/>
      <c r="F4347" s="77"/>
      <c r="G4347" s="77"/>
    </row>
    <row r="4348" spans="5:7" ht="12.75" x14ac:dyDescent="0.2">
      <c r="E4348" s="77"/>
      <c r="F4348" s="77"/>
      <c r="G4348" s="77"/>
    </row>
    <row r="4349" spans="5:7" ht="12.75" x14ac:dyDescent="0.2">
      <c r="E4349" s="77"/>
      <c r="F4349" s="77"/>
      <c r="G4349" s="77"/>
    </row>
    <row r="4350" spans="5:7" ht="12.75" x14ac:dyDescent="0.2">
      <c r="E4350" s="77"/>
      <c r="F4350" s="77"/>
      <c r="G4350" s="77"/>
    </row>
    <row r="4351" spans="5:7" ht="12.75" x14ac:dyDescent="0.2">
      <c r="E4351" s="77"/>
      <c r="F4351" s="77"/>
      <c r="G4351" s="77"/>
    </row>
    <row r="4352" spans="5:7" ht="12.75" x14ac:dyDescent="0.2">
      <c r="E4352" s="77"/>
      <c r="F4352" s="77"/>
      <c r="G4352" s="77"/>
    </row>
    <row r="4353" spans="5:7" ht="12.75" x14ac:dyDescent="0.2">
      <c r="E4353" s="77"/>
      <c r="F4353" s="77"/>
      <c r="G4353" s="77"/>
    </row>
    <row r="4354" spans="5:7" ht="12.75" x14ac:dyDescent="0.2">
      <c r="E4354" s="77"/>
      <c r="F4354" s="77"/>
      <c r="G4354" s="77"/>
    </row>
    <row r="4355" spans="5:7" ht="12.75" x14ac:dyDescent="0.2">
      <c r="E4355" s="77"/>
      <c r="F4355" s="77"/>
      <c r="G4355" s="77"/>
    </row>
    <row r="4356" spans="5:7" ht="12.75" x14ac:dyDescent="0.2">
      <c r="E4356" s="77"/>
      <c r="F4356" s="77"/>
      <c r="G4356" s="77"/>
    </row>
    <row r="4357" spans="5:7" ht="12.75" x14ac:dyDescent="0.2">
      <c r="E4357" s="77"/>
      <c r="F4357" s="77"/>
      <c r="G4357" s="77"/>
    </row>
    <row r="4358" spans="5:7" ht="12.75" x14ac:dyDescent="0.2">
      <c r="E4358" s="77"/>
      <c r="F4358" s="77"/>
      <c r="G4358" s="77"/>
    </row>
    <row r="4359" spans="5:7" ht="12.75" x14ac:dyDescent="0.2">
      <c r="E4359" s="77"/>
      <c r="F4359" s="77"/>
      <c r="G4359" s="77"/>
    </row>
    <row r="4360" spans="5:7" ht="12.75" x14ac:dyDescent="0.2">
      <c r="E4360" s="77"/>
      <c r="F4360" s="77"/>
      <c r="G4360" s="77"/>
    </row>
    <row r="4361" spans="5:7" ht="12.75" x14ac:dyDescent="0.2">
      <c r="E4361" s="77"/>
      <c r="F4361" s="77"/>
      <c r="G4361" s="77"/>
    </row>
    <row r="4362" spans="5:7" ht="12.75" x14ac:dyDescent="0.2">
      <c r="E4362" s="77"/>
      <c r="F4362" s="77"/>
      <c r="G4362" s="77"/>
    </row>
    <row r="4363" spans="5:7" ht="12.75" x14ac:dyDescent="0.2">
      <c r="E4363" s="77"/>
      <c r="F4363" s="77"/>
      <c r="G4363" s="77"/>
    </row>
    <row r="4364" spans="5:7" ht="12.75" x14ac:dyDescent="0.2">
      <c r="E4364" s="77"/>
      <c r="F4364" s="77"/>
      <c r="G4364" s="77"/>
    </row>
    <row r="4365" spans="5:7" ht="12.75" x14ac:dyDescent="0.2">
      <c r="E4365" s="77"/>
      <c r="F4365" s="77"/>
      <c r="G4365" s="77"/>
    </row>
    <row r="4366" spans="5:7" ht="12.75" x14ac:dyDescent="0.2">
      <c r="E4366" s="77"/>
      <c r="F4366" s="77"/>
      <c r="G4366" s="77"/>
    </row>
    <row r="4367" spans="5:7" ht="12.75" x14ac:dyDescent="0.2">
      <c r="E4367" s="77"/>
      <c r="F4367" s="77"/>
      <c r="G4367" s="77"/>
    </row>
    <row r="4368" spans="5:7" ht="12.75" x14ac:dyDescent="0.2">
      <c r="E4368" s="77"/>
      <c r="F4368" s="77"/>
      <c r="G4368" s="77"/>
    </row>
    <row r="4369" spans="5:7" ht="12.75" x14ac:dyDescent="0.2">
      <c r="E4369" s="77"/>
      <c r="F4369" s="77"/>
      <c r="G4369" s="77"/>
    </row>
    <row r="4370" spans="5:7" ht="12.75" x14ac:dyDescent="0.2">
      <c r="E4370" s="77"/>
      <c r="F4370" s="77"/>
      <c r="G4370" s="77"/>
    </row>
    <row r="4371" spans="5:7" ht="12.75" x14ac:dyDescent="0.2">
      <c r="E4371" s="77"/>
      <c r="F4371" s="77"/>
      <c r="G4371" s="77"/>
    </row>
    <row r="4372" spans="5:7" ht="12.75" x14ac:dyDescent="0.2">
      <c r="E4372" s="77"/>
      <c r="F4372" s="77"/>
      <c r="G4372" s="77"/>
    </row>
    <row r="4373" spans="5:7" ht="12.75" x14ac:dyDescent="0.2">
      <c r="E4373" s="77"/>
      <c r="F4373" s="77"/>
      <c r="G4373" s="77"/>
    </row>
    <row r="4374" spans="5:7" ht="12.75" x14ac:dyDescent="0.2">
      <c r="E4374" s="77"/>
      <c r="F4374" s="77"/>
      <c r="G4374" s="77"/>
    </row>
    <row r="4375" spans="5:7" ht="12.75" x14ac:dyDescent="0.2">
      <c r="E4375" s="77"/>
      <c r="F4375" s="77"/>
      <c r="G4375" s="77"/>
    </row>
    <row r="4376" spans="5:7" ht="12.75" x14ac:dyDescent="0.2">
      <c r="E4376" s="77"/>
      <c r="F4376" s="77"/>
      <c r="G4376" s="77"/>
    </row>
    <row r="4377" spans="5:7" ht="12.75" x14ac:dyDescent="0.2">
      <c r="E4377" s="77"/>
      <c r="F4377" s="77"/>
      <c r="G4377" s="77"/>
    </row>
    <row r="4378" spans="5:7" ht="12.75" x14ac:dyDescent="0.2">
      <c r="E4378" s="77"/>
      <c r="F4378" s="77"/>
      <c r="G4378" s="77"/>
    </row>
    <row r="4379" spans="5:7" ht="12.75" x14ac:dyDescent="0.2">
      <c r="E4379" s="77"/>
      <c r="F4379" s="77"/>
      <c r="G4379" s="77"/>
    </row>
    <row r="4380" spans="5:7" ht="12.75" x14ac:dyDescent="0.2">
      <c r="E4380" s="77"/>
      <c r="F4380" s="77"/>
      <c r="G4380" s="77"/>
    </row>
    <row r="4381" spans="5:7" ht="12.75" x14ac:dyDescent="0.2">
      <c r="E4381" s="77"/>
      <c r="F4381" s="77"/>
      <c r="G4381" s="77"/>
    </row>
    <row r="4382" spans="5:7" ht="12.75" x14ac:dyDescent="0.2">
      <c r="E4382" s="77"/>
      <c r="F4382" s="77"/>
      <c r="G4382" s="77"/>
    </row>
    <row r="4383" spans="5:7" ht="12.75" x14ac:dyDescent="0.2">
      <c r="E4383" s="77"/>
      <c r="F4383" s="77"/>
      <c r="G4383" s="77"/>
    </row>
    <row r="4384" spans="5:7" ht="12.75" x14ac:dyDescent="0.2">
      <c r="E4384" s="77"/>
      <c r="F4384" s="77"/>
      <c r="G4384" s="77"/>
    </row>
    <row r="4385" spans="5:7" ht="12.75" x14ac:dyDescent="0.2">
      <c r="E4385" s="77"/>
      <c r="F4385" s="77"/>
      <c r="G4385" s="77"/>
    </row>
    <row r="4386" spans="5:7" ht="12.75" x14ac:dyDescent="0.2">
      <c r="E4386" s="77"/>
      <c r="F4386" s="77"/>
      <c r="G4386" s="77"/>
    </row>
    <row r="4387" spans="5:7" ht="12.75" x14ac:dyDescent="0.2">
      <c r="E4387" s="77"/>
      <c r="F4387" s="77"/>
      <c r="G4387" s="77"/>
    </row>
    <row r="4388" spans="5:7" ht="12.75" x14ac:dyDescent="0.2">
      <c r="E4388" s="77"/>
      <c r="F4388" s="77"/>
      <c r="G4388" s="77"/>
    </row>
    <row r="4389" spans="5:7" ht="12.75" x14ac:dyDescent="0.2">
      <c r="E4389" s="77"/>
      <c r="F4389" s="77"/>
      <c r="G4389" s="77"/>
    </row>
    <row r="4390" spans="5:7" ht="12.75" x14ac:dyDescent="0.2">
      <c r="E4390" s="77"/>
      <c r="F4390" s="77"/>
      <c r="G4390" s="77"/>
    </row>
    <row r="4391" spans="5:7" ht="12.75" x14ac:dyDescent="0.2">
      <c r="E4391" s="77"/>
      <c r="F4391" s="77"/>
      <c r="G4391" s="77"/>
    </row>
    <row r="4392" spans="5:7" ht="12.75" x14ac:dyDescent="0.2">
      <c r="E4392" s="77"/>
      <c r="F4392" s="77"/>
      <c r="G4392" s="77"/>
    </row>
    <row r="4393" spans="5:7" ht="12.75" x14ac:dyDescent="0.2">
      <c r="E4393" s="77"/>
      <c r="F4393" s="77"/>
      <c r="G4393" s="77"/>
    </row>
    <row r="4394" spans="5:7" ht="12.75" x14ac:dyDescent="0.2">
      <c r="E4394" s="77"/>
      <c r="F4394" s="77"/>
      <c r="G4394" s="77"/>
    </row>
    <row r="4395" spans="5:7" ht="12.75" x14ac:dyDescent="0.2">
      <c r="E4395" s="77"/>
      <c r="F4395" s="77"/>
      <c r="G4395" s="77"/>
    </row>
    <row r="4396" spans="5:7" ht="12.75" x14ac:dyDescent="0.2">
      <c r="E4396" s="77"/>
      <c r="F4396" s="77"/>
      <c r="G4396" s="77"/>
    </row>
    <row r="4397" spans="5:7" ht="12.75" x14ac:dyDescent="0.2">
      <c r="E4397" s="77"/>
      <c r="F4397" s="77"/>
      <c r="G4397" s="77"/>
    </row>
    <row r="4398" spans="5:7" ht="12.75" x14ac:dyDescent="0.2">
      <c r="E4398" s="77"/>
      <c r="F4398" s="77"/>
      <c r="G4398" s="77"/>
    </row>
    <row r="4399" spans="5:7" ht="12.75" x14ac:dyDescent="0.2">
      <c r="E4399" s="77"/>
      <c r="F4399" s="77"/>
      <c r="G4399" s="77"/>
    </row>
    <row r="4400" spans="5:7" ht="12.75" x14ac:dyDescent="0.2">
      <c r="E4400" s="77"/>
      <c r="F4400" s="77"/>
      <c r="G4400" s="77"/>
    </row>
    <row r="4401" spans="5:7" ht="12.75" x14ac:dyDescent="0.2">
      <c r="E4401" s="77"/>
      <c r="F4401" s="77"/>
      <c r="G4401" s="77"/>
    </row>
    <row r="4402" spans="5:7" ht="12.75" x14ac:dyDescent="0.2">
      <c r="E4402" s="77"/>
      <c r="F4402" s="77"/>
      <c r="G4402" s="77"/>
    </row>
    <row r="4403" spans="5:7" ht="12.75" x14ac:dyDescent="0.2">
      <c r="E4403" s="77"/>
      <c r="F4403" s="77"/>
      <c r="G4403" s="77"/>
    </row>
    <row r="4404" spans="5:7" ht="12.75" x14ac:dyDescent="0.2">
      <c r="E4404" s="77"/>
      <c r="F4404" s="77"/>
      <c r="G4404" s="77"/>
    </row>
    <row r="4405" spans="5:7" ht="12.75" x14ac:dyDescent="0.2">
      <c r="E4405" s="77"/>
      <c r="F4405" s="77"/>
      <c r="G4405" s="77"/>
    </row>
    <row r="4406" spans="5:7" ht="12.75" x14ac:dyDescent="0.2">
      <c r="E4406" s="77"/>
      <c r="F4406" s="77"/>
      <c r="G4406" s="77"/>
    </row>
    <row r="4407" spans="5:7" ht="12.75" x14ac:dyDescent="0.2">
      <c r="E4407" s="77"/>
      <c r="F4407" s="77"/>
      <c r="G4407" s="77"/>
    </row>
    <row r="4408" spans="5:7" ht="12.75" x14ac:dyDescent="0.2">
      <c r="E4408" s="77"/>
      <c r="F4408" s="77"/>
      <c r="G4408" s="77"/>
    </row>
    <row r="4409" spans="5:7" ht="12.75" x14ac:dyDescent="0.2">
      <c r="E4409" s="77"/>
      <c r="F4409" s="77"/>
      <c r="G4409" s="77"/>
    </row>
    <row r="4410" spans="5:7" ht="12.75" x14ac:dyDescent="0.2">
      <c r="E4410" s="77"/>
      <c r="F4410" s="77"/>
      <c r="G4410" s="77"/>
    </row>
    <row r="4411" spans="5:7" ht="12.75" x14ac:dyDescent="0.2">
      <c r="E4411" s="77"/>
      <c r="F4411" s="77"/>
      <c r="G4411" s="77"/>
    </row>
    <row r="4412" spans="5:7" ht="12.75" x14ac:dyDescent="0.2">
      <c r="E4412" s="77"/>
      <c r="F4412" s="77"/>
      <c r="G4412" s="77"/>
    </row>
    <row r="4413" spans="5:7" ht="12.75" x14ac:dyDescent="0.2">
      <c r="E4413" s="77"/>
      <c r="F4413" s="77"/>
      <c r="G4413" s="77"/>
    </row>
    <row r="4414" spans="5:7" ht="12.75" x14ac:dyDescent="0.2">
      <c r="E4414" s="77"/>
      <c r="F4414" s="77"/>
      <c r="G4414" s="77"/>
    </row>
    <row r="4415" spans="5:7" ht="12.75" x14ac:dyDescent="0.2">
      <c r="E4415" s="77"/>
      <c r="F4415" s="77"/>
      <c r="G4415" s="77"/>
    </row>
    <row r="4416" spans="5:7" ht="12.75" x14ac:dyDescent="0.2">
      <c r="E4416" s="77"/>
      <c r="F4416" s="77"/>
      <c r="G4416" s="77"/>
    </row>
    <row r="4417" spans="5:7" ht="12.75" x14ac:dyDescent="0.2">
      <c r="E4417" s="77"/>
      <c r="F4417" s="77"/>
      <c r="G4417" s="77"/>
    </row>
    <row r="4418" spans="5:7" ht="12.75" x14ac:dyDescent="0.2">
      <c r="E4418" s="77"/>
      <c r="F4418" s="77"/>
      <c r="G4418" s="77"/>
    </row>
    <row r="4419" spans="5:7" ht="12.75" x14ac:dyDescent="0.2">
      <c r="E4419" s="77"/>
      <c r="F4419" s="77"/>
      <c r="G4419" s="77"/>
    </row>
    <row r="4420" spans="5:7" ht="12.75" x14ac:dyDescent="0.2">
      <c r="E4420" s="77"/>
      <c r="F4420" s="77"/>
      <c r="G4420" s="77"/>
    </row>
    <row r="4421" spans="5:7" ht="12.75" x14ac:dyDescent="0.2">
      <c r="E4421" s="77"/>
      <c r="F4421" s="77"/>
      <c r="G4421" s="77"/>
    </row>
    <row r="4422" spans="5:7" ht="12.75" x14ac:dyDescent="0.2">
      <c r="E4422" s="77"/>
      <c r="F4422" s="77"/>
      <c r="G4422" s="77"/>
    </row>
    <row r="4423" spans="5:7" ht="12.75" x14ac:dyDescent="0.2">
      <c r="E4423" s="77"/>
      <c r="F4423" s="77"/>
      <c r="G4423" s="77"/>
    </row>
    <row r="4424" spans="5:7" ht="12.75" x14ac:dyDescent="0.2">
      <c r="E4424" s="77"/>
      <c r="F4424" s="77"/>
      <c r="G4424" s="77"/>
    </row>
    <row r="4425" spans="5:7" ht="12.75" x14ac:dyDescent="0.2">
      <c r="E4425" s="77"/>
      <c r="F4425" s="77"/>
      <c r="G4425" s="77"/>
    </row>
    <row r="4426" spans="5:7" ht="12.75" x14ac:dyDescent="0.2">
      <c r="E4426" s="77"/>
      <c r="F4426" s="77"/>
      <c r="G4426" s="77"/>
    </row>
    <row r="4427" spans="5:7" ht="12.75" x14ac:dyDescent="0.2">
      <c r="E4427" s="77"/>
      <c r="F4427" s="77"/>
      <c r="G4427" s="77"/>
    </row>
    <row r="4428" spans="5:7" ht="12.75" x14ac:dyDescent="0.2">
      <c r="E4428" s="77"/>
      <c r="F4428" s="77"/>
      <c r="G4428" s="77"/>
    </row>
    <row r="4429" spans="5:7" ht="12.75" x14ac:dyDescent="0.2">
      <c r="E4429" s="77"/>
      <c r="F4429" s="77"/>
      <c r="G4429" s="77"/>
    </row>
    <row r="4430" spans="5:7" ht="12.75" x14ac:dyDescent="0.2">
      <c r="E4430" s="77"/>
      <c r="F4430" s="77"/>
      <c r="G4430" s="77"/>
    </row>
    <row r="4431" spans="5:7" ht="12.75" x14ac:dyDescent="0.2">
      <c r="E4431" s="77"/>
      <c r="F4431" s="77"/>
      <c r="G4431" s="77"/>
    </row>
    <row r="4432" spans="5:7" ht="12.75" x14ac:dyDescent="0.2">
      <c r="E4432" s="77"/>
      <c r="F4432" s="77"/>
      <c r="G4432" s="77"/>
    </row>
    <row r="4433" spans="5:7" ht="12.75" x14ac:dyDescent="0.2">
      <c r="E4433" s="77"/>
      <c r="F4433" s="77"/>
      <c r="G4433" s="77"/>
    </row>
    <row r="4434" spans="5:7" ht="12.75" x14ac:dyDescent="0.2">
      <c r="E4434" s="77"/>
      <c r="F4434" s="77"/>
      <c r="G4434" s="77"/>
    </row>
    <row r="4435" spans="5:7" ht="12.75" x14ac:dyDescent="0.2">
      <c r="E4435" s="77"/>
      <c r="F4435" s="77"/>
      <c r="G4435" s="77"/>
    </row>
    <row r="4436" spans="5:7" ht="12.75" x14ac:dyDescent="0.2">
      <c r="E4436" s="77"/>
      <c r="F4436" s="77"/>
      <c r="G4436" s="77"/>
    </row>
    <row r="4437" spans="5:7" ht="12.75" x14ac:dyDescent="0.2">
      <c r="E4437" s="77"/>
      <c r="F4437" s="77"/>
      <c r="G4437" s="77"/>
    </row>
    <row r="4438" spans="5:7" ht="12.75" x14ac:dyDescent="0.2">
      <c r="E4438" s="77"/>
      <c r="F4438" s="77"/>
      <c r="G4438" s="77"/>
    </row>
    <row r="4439" spans="5:7" ht="12.75" x14ac:dyDescent="0.2">
      <c r="E4439" s="77"/>
      <c r="F4439" s="77"/>
      <c r="G4439" s="77"/>
    </row>
    <row r="4440" spans="5:7" ht="12.75" x14ac:dyDescent="0.2">
      <c r="E4440" s="77"/>
      <c r="F4440" s="77"/>
      <c r="G4440" s="77"/>
    </row>
    <row r="4441" spans="5:7" ht="12.75" x14ac:dyDescent="0.2">
      <c r="E4441" s="77"/>
      <c r="F4441" s="77"/>
      <c r="G4441" s="77"/>
    </row>
    <row r="4442" spans="5:7" ht="12.75" x14ac:dyDescent="0.2">
      <c r="E4442" s="77"/>
      <c r="F4442" s="77"/>
      <c r="G4442" s="77"/>
    </row>
    <row r="4443" spans="5:7" ht="12.75" x14ac:dyDescent="0.2">
      <c r="E4443" s="77"/>
      <c r="F4443" s="77"/>
      <c r="G4443" s="77"/>
    </row>
    <row r="4444" spans="5:7" ht="12.75" x14ac:dyDescent="0.2">
      <c r="E4444" s="77"/>
      <c r="F4444" s="77"/>
      <c r="G4444" s="77"/>
    </row>
    <row r="4445" spans="5:7" ht="12.75" x14ac:dyDescent="0.2">
      <c r="E4445" s="77"/>
      <c r="F4445" s="77"/>
      <c r="G4445" s="77"/>
    </row>
    <row r="4446" spans="5:7" ht="12.75" x14ac:dyDescent="0.2">
      <c r="E4446" s="77"/>
      <c r="F4446" s="77"/>
      <c r="G4446" s="77"/>
    </row>
    <row r="4447" spans="5:7" ht="12.75" x14ac:dyDescent="0.2">
      <c r="E4447" s="77"/>
      <c r="F4447" s="77"/>
      <c r="G4447" s="77"/>
    </row>
    <row r="4448" spans="5:7" ht="12.75" x14ac:dyDescent="0.2">
      <c r="E4448" s="77"/>
      <c r="F4448" s="77"/>
      <c r="G4448" s="77"/>
    </row>
    <row r="4449" spans="5:7" ht="12.75" x14ac:dyDescent="0.2">
      <c r="E4449" s="77"/>
      <c r="F4449" s="77"/>
      <c r="G4449" s="77"/>
    </row>
    <row r="4450" spans="5:7" ht="12.75" x14ac:dyDescent="0.2">
      <c r="E4450" s="77"/>
      <c r="F4450" s="77"/>
      <c r="G4450" s="77"/>
    </row>
    <row r="4451" spans="5:7" ht="12.75" x14ac:dyDescent="0.2">
      <c r="E4451" s="77"/>
      <c r="F4451" s="77"/>
      <c r="G4451" s="77"/>
    </row>
    <row r="4452" spans="5:7" ht="12.75" x14ac:dyDescent="0.2">
      <c r="E4452" s="77"/>
      <c r="F4452" s="77"/>
      <c r="G4452" s="77"/>
    </row>
    <row r="4453" spans="5:7" ht="12.75" x14ac:dyDescent="0.2">
      <c r="E4453" s="77"/>
      <c r="F4453" s="77"/>
      <c r="G4453" s="77"/>
    </row>
    <row r="4454" spans="5:7" ht="12.75" x14ac:dyDescent="0.2">
      <c r="E4454" s="77"/>
      <c r="F4454" s="77"/>
      <c r="G4454" s="77"/>
    </row>
    <row r="4455" spans="5:7" ht="12.75" x14ac:dyDescent="0.2">
      <c r="E4455" s="77"/>
      <c r="F4455" s="77"/>
      <c r="G4455" s="77"/>
    </row>
    <row r="4456" spans="5:7" ht="12.75" x14ac:dyDescent="0.2">
      <c r="E4456" s="77"/>
      <c r="F4456" s="77"/>
      <c r="G4456" s="77"/>
    </row>
    <row r="4457" spans="5:7" ht="12.75" x14ac:dyDescent="0.2">
      <c r="E4457" s="77"/>
      <c r="F4457" s="77"/>
      <c r="G4457" s="77"/>
    </row>
    <row r="4458" spans="5:7" ht="12.75" x14ac:dyDescent="0.2">
      <c r="E4458" s="77"/>
      <c r="F4458" s="77"/>
      <c r="G4458" s="77"/>
    </row>
    <row r="4459" spans="5:7" ht="12.75" x14ac:dyDescent="0.2">
      <c r="E4459" s="77"/>
      <c r="F4459" s="77"/>
      <c r="G4459" s="77"/>
    </row>
    <row r="4460" spans="5:7" ht="12.75" x14ac:dyDescent="0.2">
      <c r="E4460" s="77"/>
      <c r="F4460" s="77"/>
      <c r="G4460" s="77"/>
    </row>
    <row r="4461" spans="5:7" ht="12.75" x14ac:dyDescent="0.2">
      <c r="E4461" s="77"/>
      <c r="F4461" s="77"/>
      <c r="G4461" s="77"/>
    </row>
    <row r="4462" spans="5:7" ht="12.75" x14ac:dyDescent="0.2">
      <c r="E4462" s="77"/>
      <c r="F4462" s="77"/>
      <c r="G4462" s="77"/>
    </row>
    <row r="4463" spans="5:7" ht="12.75" x14ac:dyDescent="0.2">
      <c r="E4463" s="77"/>
      <c r="F4463" s="77"/>
      <c r="G4463" s="77"/>
    </row>
    <row r="4464" spans="5:7" ht="12.75" x14ac:dyDescent="0.2">
      <c r="E4464" s="77"/>
      <c r="F4464" s="77"/>
      <c r="G4464" s="77"/>
    </row>
    <row r="4465" spans="5:7" ht="12.75" x14ac:dyDescent="0.2">
      <c r="E4465" s="77"/>
      <c r="F4465" s="77"/>
      <c r="G4465" s="77"/>
    </row>
    <row r="4466" spans="5:7" ht="12.75" x14ac:dyDescent="0.2">
      <c r="E4466" s="77"/>
      <c r="F4466" s="77"/>
      <c r="G4466" s="77"/>
    </row>
    <row r="4467" spans="5:7" ht="12.75" x14ac:dyDescent="0.2">
      <c r="E4467" s="77"/>
      <c r="F4467" s="77"/>
      <c r="G4467" s="77"/>
    </row>
    <row r="4468" spans="5:7" ht="12.75" x14ac:dyDescent="0.2">
      <c r="E4468" s="77"/>
      <c r="F4468" s="77"/>
      <c r="G4468" s="77"/>
    </row>
    <row r="4469" spans="5:7" ht="12.75" x14ac:dyDescent="0.2">
      <c r="E4469" s="77"/>
      <c r="F4469" s="77"/>
      <c r="G4469" s="77"/>
    </row>
    <row r="4470" spans="5:7" ht="12.75" x14ac:dyDescent="0.2">
      <c r="E4470" s="77"/>
      <c r="F4470" s="77"/>
      <c r="G4470" s="77"/>
    </row>
    <row r="4471" spans="5:7" ht="12.75" x14ac:dyDescent="0.2">
      <c r="E4471" s="77"/>
      <c r="F4471" s="77"/>
      <c r="G4471" s="77"/>
    </row>
    <row r="4472" spans="5:7" ht="12.75" x14ac:dyDescent="0.2">
      <c r="E4472" s="77"/>
      <c r="F4472" s="77"/>
      <c r="G4472" s="77"/>
    </row>
    <row r="4473" spans="5:7" ht="12.75" x14ac:dyDescent="0.2">
      <c r="E4473" s="77"/>
      <c r="F4473" s="77"/>
      <c r="G4473" s="77"/>
    </row>
    <row r="4474" spans="5:7" ht="12.75" x14ac:dyDescent="0.2">
      <c r="E4474" s="77"/>
      <c r="F4474" s="77"/>
      <c r="G4474" s="77"/>
    </row>
    <row r="4475" spans="5:7" ht="12.75" x14ac:dyDescent="0.2">
      <c r="E4475" s="77"/>
      <c r="F4475" s="77"/>
      <c r="G4475" s="77"/>
    </row>
    <row r="4476" spans="5:7" ht="12.75" x14ac:dyDescent="0.2">
      <c r="E4476" s="77"/>
      <c r="F4476" s="77"/>
      <c r="G4476" s="77"/>
    </row>
    <row r="4477" spans="5:7" ht="12.75" x14ac:dyDescent="0.2">
      <c r="E4477" s="77"/>
      <c r="F4477" s="77"/>
      <c r="G4477" s="77"/>
    </row>
    <row r="4478" spans="5:7" ht="12.75" x14ac:dyDescent="0.2">
      <c r="E4478" s="77"/>
      <c r="F4478" s="77"/>
      <c r="G4478" s="77"/>
    </row>
    <row r="4479" spans="5:7" ht="12.75" x14ac:dyDescent="0.2">
      <c r="E4479" s="77"/>
      <c r="F4479" s="77"/>
      <c r="G4479" s="77"/>
    </row>
    <row r="4480" spans="5:7" ht="12.75" x14ac:dyDescent="0.2">
      <c r="E4480" s="77"/>
      <c r="F4480" s="77"/>
      <c r="G4480" s="77"/>
    </row>
    <row r="4481" spans="5:7" ht="12.75" x14ac:dyDescent="0.2">
      <c r="E4481" s="77"/>
      <c r="F4481" s="77"/>
      <c r="G4481" s="77"/>
    </row>
    <row r="4482" spans="5:7" ht="12.75" x14ac:dyDescent="0.2">
      <c r="E4482" s="77"/>
      <c r="F4482" s="77"/>
      <c r="G4482" s="77"/>
    </row>
    <row r="4483" spans="5:7" ht="12.75" x14ac:dyDescent="0.2">
      <c r="E4483" s="77"/>
      <c r="F4483" s="77"/>
      <c r="G4483" s="77"/>
    </row>
    <row r="4484" spans="5:7" ht="12.75" x14ac:dyDescent="0.2">
      <c r="E4484" s="77"/>
      <c r="F4484" s="77"/>
      <c r="G4484" s="77"/>
    </row>
    <row r="4485" spans="5:7" ht="12.75" x14ac:dyDescent="0.2">
      <c r="E4485" s="77"/>
      <c r="F4485" s="77"/>
      <c r="G4485" s="77"/>
    </row>
    <row r="4486" spans="5:7" ht="12.75" x14ac:dyDescent="0.2">
      <c r="E4486" s="77"/>
      <c r="F4486" s="77"/>
      <c r="G4486" s="77"/>
    </row>
    <row r="4487" spans="5:7" ht="12.75" x14ac:dyDescent="0.2">
      <c r="E4487" s="77"/>
      <c r="F4487" s="77"/>
      <c r="G4487" s="77"/>
    </row>
    <row r="4488" spans="5:7" ht="12.75" x14ac:dyDescent="0.2">
      <c r="E4488" s="77"/>
      <c r="F4488" s="77"/>
      <c r="G4488" s="77"/>
    </row>
    <row r="4489" spans="5:7" ht="12.75" x14ac:dyDescent="0.2">
      <c r="E4489" s="77"/>
      <c r="F4489" s="77"/>
      <c r="G4489" s="77"/>
    </row>
    <row r="4490" spans="5:7" ht="12.75" x14ac:dyDescent="0.2">
      <c r="E4490" s="77"/>
      <c r="F4490" s="77"/>
      <c r="G4490" s="77"/>
    </row>
    <row r="4491" spans="5:7" ht="12.75" x14ac:dyDescent="0.2">
      <c r="E4491" s="77"/>
      <c r="F4491" s="77"/>
      <c r="G4491" s="77"/>
    </row>
    <row r="4492" spans="5:7" ht="12.75" x14ac:dyDescent="0.2">
      <c r="E4492" s="77"/>
      <c r="F4492" s="77"/>
      <c r="G4492" s="77"/>
    </row>
    <row r="4493" spans="5:7" ht="12.75" x14ac:dyDescent="0.2">
      <c r="E4493" s="77"/>
      <c r="F4493" s="77"/>
      <c r="G4493" s="77"/>
    </row>
    <row r="4494" spans="5:7" ht="12.75" x14ac:dyDescent="0.2">
      <c r="E4494" s="77"/>
      <c r="F4494" s="77"/>
      <c r="G4494" s="77"/>
    </row>
    <row r="4495" spans="5:7" ht="12.75" x14ac:dyDescent="0.2">
      <c r="E4495" s="77"/>
      <c r="F4495" s="77"/>
      <c r="G4495" s="77"/>
    </row>
    <row r="4496" spans="5:7" ht="12.75" x14ac:dyDescent="0.2">
      <c r="E4496" s="77"/>
      <c r="F4496" s="77"/>
      <c r="G4496" s="77"/>
    </row>
    <row r="4497" spans="5:7" ht="12.75" x14ac:dyDescent="0.2">
      <c r="E4497" s="77"/>
      <c r="F4497" s="77"/>
      <c r="G4497" s="77"/>
    </row>
    <row r="4498" spans="5:7" ht="12.75" x14ac:dyDescent="0.2">
      <c r="E4498" s="77"/>
      <c r="F4498" s="77"/>
      <c r="G4498" s="77"/>
    </row>
    <row r="4499" spans="5:7" ht="12.75" x14ac:dyDescent="0.2">
      <c r="E4499" s="77"/>
      <c r="F4499" s="77"/>
      <c r="G4499" s="77"/>
    </row>
    <row r="4500" spans="5:7" ht="12.75" x14ac:dyDescent="0.2">
      <c r="E4500" s="77"/>
      <c r="F4500" s="77"/>
      <c r="G4500" s="77"/>
    </row>
  </sheetData>
  <autoFilter ref="A1:G2714" xr:uid="{00000000-0009-0000-0000-000007000000}"/>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Hojas de cálculo</vt:lpstr>
      </vt:variant>
      <vt:variant>
        <vt:i4>4</vt:i4>
      </vt:variant>
    </vt:vector>
  </HeadingPairs>
  <TitlesOfParts>
    <vt:vector size="4" baseType="lpstr">
      <vt:lpstr>ACCESORIOS</vt:lpstr>
      <vt:lpstr>PANTALLAS DE LAPTOP</vt:lpstr>
      <vt:lpstr>Hoja 8</vt:lpstr>
      <vt:lpstr>Precios</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Boost Peru</dc:creator>
  <cp:lastModifiedBy>Boost Peru</cp:lastModifiedBy>
  <dcterms:created xsi:type="dcterms:W3CDTF">2023-06-19T15:45:07Z</dcterms:created>
  <dcterms:modified xsi:type="dcterms:W3CDTF">2023-06-19T15:45:07Z</dcterms:modified>
</cp:coreProperties>
</file>